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(2) Development and Construction\(2) Individual Development Projects\2017\McConway and Torley\"/>
    </mc:Choice>
  </mc:AlternateContent>
  <bookViews>
    <workbookView xWindow="0" yWindow="0" windowWidth="16815" windowHeight="7155"/>
  </bookViews>
  <sheets>
    <sheet name="Sheet 1" sheetId="8" r:id="rId1"/>
  </sheets>
  <definedNames>
    <definedName name="_xlnm.Print_Area" localSheetId="0">'Sheet 1'!$B$1:$R$123</definedName>
  </definedName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" i="8" l="1"/>
  <c r="L106" i="8"/>
  <c r="L104" i="8"/>
  <c r="L101" i="8"/>
  <c r="L99" i="8"/>
  <c r="L96" i="8"/>
  <c r="L94" i="8"/>
  <c r="L91" i="8"/>
  <c r="L89" i="8"/>
  <c r="L86" i="8"/>
  <c r="L66" i="8"/>
  <c r="L72" i="8"/>
  <c r="L78" i="8"/>
  <c r="L84" i="8"/>
  <c r="L81" i="8"/>
  <c r="L75" i="8"/>
  <c r="L69" i="8"/>
  <c r="L63" i="8"/>
  <c r="G109" i="8"/>
  <c r="G108" i="8"/>
  <c r="G107" i="8"/>
  <c r="G106" i="8"/>
  <c r="G104" i="8"/>
  <c r="G103" i="8"/>
  <c r="G102" i="8"/>
  <c r="G101" i="8"/>
  <c r="G99" i="8"/>
  <c r="G98" i="8"/>
  <c r="G97" i="8"/>
  <c r="G96" i="8"/>
  <c r="G94" i="8"/>
  <c r="G93" i="8"/>
  <c r="G92" i="8"/>
  <c r="G91" i="8"/>
  <c r="G89" i="8"/>
  <c r="G88" i="8"/>
  <c r="G87" i="8"/>
  <c r="G86" i="8"/>
  <c r="G84" i="8"/>
  <c r="G83" i="8"/>
  <c r="G82" i="8"/>
  <c r="G81" i="8"/>
  <c r="G76" i="8"/>
  <c r="G77" i="8"/>
  <c r="G78" i="8"/>
  <c r="G75" i="8"/>
  <c r="G72" i="8"/>
  <c r="G71" i="8"/>
  <c r="G70" i="8"/>
  <c r="G69" i="8"/>
  <c r="G64" i="8"/>
  <c r="G65" i="8"/>
  <c r="G66" i="8"/>
  <c r="G63" i="8"/>
  <c r="C99" i="8"/>
  <c r="C98" i="8"/>
  <c r="C97" i="8"/>
  <c r="C96" i="8"/>
  <c r="C94" i="8"/>
  <c r="C93" i="8"/>
  <c r="C92" i="8"/>
  <c r="C91" i="8"/>
  <c r="C89" i="8"/>
  <c r="C88" i="8"/>
  <c r="C87" i="8"/>
  <c r="C86" i="8"/>
  <c r="C84" i="8"/>
  <c r="C83" i="8"/>
  <c r="C82" i="8"/>
  <c r="C81" i="8"/>
  <c r="C78" i="8"/>
  <c r="C77" i="8"/>
  <c r="C76" i="8"/>
  <c r="C75" i="8"/>
  <c r="C72" i="8"/>
  <c r="C71" i="8"/>
  <c r="C70" i="8"/>
  <c r="C69" i="8"/>
  <c r="K59" i="8"/>
  <c r="J59" i="8"/>
  <c r="I59" i="8"/>
  <c r="H59" i="8"/>
  <c r="G59" i="8"/>
  <c r="F59" i="8"/>
  <c r="E59" i="8"/>
  <c r="D59" i="8"/>
  <c r="C59" i="8"/>
  <c r="K40" i="8"/>
  <c r="J40" i="8"/>
  <c r="I40" i="8"/>
  <c r="H40" i="8"/>
  <c r="G40" i="8"/>
  <c r="F40" i="8"/>
  <c r="E40" i="8"/>
  <c r="D40" i="8"/>
  <c r="C40" i="8"/>
  <c r="D33" i="8"/>
  <c r="E33" i="8"/>
  <c r="F33" i="8"/>
  <c r="G33" i="8"/>
  <c r="H33" i="8"/>
  <c r="I33" i="8"/>
  <c r="J33" i="8"/>
  <c r="K33" i="8"/>
  <c r="C33" i="8"/>
  <c r="D63" i="8"/>
  <c r="D66" i="8"/>
  <c r="E63" i="8"/>
  <c r="E66" i="8"/>
  <c r="F63" i="8"/>
  <c r="F66" i="8"/>
  <c r="H63" i="8"/>
  <c r="H66" i="8"/>
  <c r="I63" i="8"/>
  <c r="I66" i="8"/>
  <c r="J63" i="8"/>
  <c r="J66" i="8"/>
  <c r="K63" i="8"/>
  <c r="K66" i="8"/>
  <c r="E49" i="8"/>
  <c r="E52" i="8"/>
  <c r="F49" i="8"/>
  <c r="F52" i="8"/>
  <c r="G52" i="8"/>
  <c r="E51" i="8"/>
  <c r="F51" i="8"/>
  <c r="G51" i="8"/>
  <c r="E50" i="8"/>
  <c r="F50" i="8"/>
  <c r="G50" i="8"/>
  <c r="G49" i="8"/>
  <c r="D49" i="8"/>
  <c r="D52" i="8"/>
  <c r="J49" i="8"/>
  <c r="J52" i="8"/>
  <c r="C52" i="8"/>
  <c r="D51" i="8"/>
  <c r="J51" i="8"/>
  <c r="C51" i="8"/>
  <c r="D50" i="8"/>
  <c r="J50" i="8"/>
  <c r="C50" i="8"/>
  <c r="C49" i="8"/>
  <c r="H49" i="8"/>
  <c r="H52" i="8"/>
  <c r="I49" i="8"/>
  <c r="I52" i="8"/>
  <c r="K49" i="8"/>
  <c r="K52" i="8"/>
  <c r="L52" i="8"/>
  <c r="D55" i="8"/>
  <c r="D58" i="8"/>
  <c r="J55" i="8"/>
  <c r="J58" i="8"/>
  <c r="C58" i="8"/>
  <c r="E55" i="8"/>
  <c r="E58" i="8"/>
  <c r="F55" i="8"/>
  <c r="F58" i="8"/>
  <c r="G58" i="8"/>
  <c r="H55" i="8"/>
  <c r="H58" i="8"/>
  <c r="I55" i="8"/>
  <c r="I58" i="8"/>
  <c r="K55" i="8"/>
  <c r="K58" i="8"/>
  <c r="L58" i="8"/>
  <c r="C55" i="8"/>
  <c r="G55" i="8"/>
  <c r="L55" i="8"/>
  <c r="L49" i="8"/>
  <c r="D43" i="8"/>
  <c r="D46" i="8"/>
  <c r="J43" i="8"/>
  <c r="J46" i="8"/>
  <c r="C46" i="8"/>
  <c r="E43" i="8"/>
  <c r="E46" i="8"/>
  <c r="F43" i="8"/>
  <c r="F46" i="8"/>
  <c r="G46" i="8"/>
  <c r="H43" i="8"/>
  <c r="H46" i="8"/>
  <c r="I43" i="8"/>
  <c r="I46" i="8"/>
  <c r="K43" i="8"/>
  <c r="K46" i="8"/>
  <c r="L46" i="8"/>
  <c r="C43" i="8"/>
  <c r="G43" i="8"/>
  <c r="L43" i="8"/>
  <c r="D36" i="8"/>
  <c r="D39" i="8"/>
  <c r="J36" i="8"/>
  <c r="J39" i="8"/>
  <c r="C39" i="8"/>
  <c r="E36" i="8"/>
  <c r="E39" i="8"/>
  <c r="F36" i="8"/>
  <c r="F39" i="8"/>
  <c r="G39" i="8"/>
  <c r="H36" i="8"/>
  <c r="H39" i="8"/>
  <c r="I36" i="8"/>
  <c r="I39" i="8"/>
  <c r="K36" i="8"/>
  <c r="K39" i="8"/>
  <c r="L39" i="8"/>
  <c r="C36" i="8"/>
  <c r="G36" i="8"/>
  <c r="L36" i="8"/>
  <c r="D29" i="8"/>
  <c r="D32" i="8"/>
  <c r="J29" i="8"/>
  <c r="J32" i="8"/>
  <c r="C32" i="8"/>
  <c r="E29" i="8"/>
  <c r="E32" i="8"/>
  <c r="F29" i="8"/>
  <c r="F32" i="8"/>
  <c r="G32" i="8"/>
  <c r="H29" i="8"/>
  <c r="H32" i="8"/>
  <c r="I29" i="8"/>
  <c r="I32" i="8"/>
  <c r="K29" i="8"/>
  <c r="K32" i="8"/>
  <c r="L32" i="8"/>
  <c r="C29" i="8"/>
  <c r="G29" i="8"/>
  <c r="L29" i="8"/>
  <c r="D106" i="8"/>
  <c r="D109" i="8"/>
  <c r="J106" i="8"/>
  <c r="J109" i="8"/>
  <c r="C109" i="8"/>
  <c r="D108" i="8"/>
  <c r="J108" i="8"/>
  <c r="C108" i="8"/>
  <c r="D107" i="8"/>
  <c r="J107" i="8"/>
  <c r="C107" i="8"/>
  <c r="C106" i="8"/>
  <c r="N36" i="8"/>
  <c r="D101" i="8"/>
  <c r="D104" i="8"/>
  <c r="J101" i="8"/>
  <c r="J104" i="8"/>
  <c r="C104" i="8"/>
  <c r="D103" i="8"/>
  <c r="J103" i="8"/>
  <c r="C103" i="8"/>
  <c r="D102" i="8"/>
  <c r="J102" i="8"/>
  <c r="C102" i="8"/>
  <c r="C101" i="8"/>
  <c r="C66" i="8"/>
  <c r="D65" i="8"/>
  <c r="J65" i="8"/>
  <c r="C65" i="8"/>
  <c r="D64" i="8"/>
  <c r="J64" i="8"/>
  <c r="C64" i="8"/>
  <c r="C63" i="8"/>
  <c r="D57" i="8"/>
  <c r="J57" i="8"/>
  <c r="C57" i="8"/>
  <c r="D56" i="8"/>
  <c r="J56" i="8"/>
  <c r="C56" i="8"/>
  <c r="D45" i="8"/>
  <c r="J45" i="8"/>
  <c r="C45" i="8"/>
  <c r="D44" i="8"/>
  <c r="J44" i="8"/>
  <c r="C44" i="8"/>
  <c r="D38" i="8"/>
  <c r="J38" i="8"/>
  <c r="C38" i="8"/>
  <c r="D37" i="8"/>
  <c r="J37" i="8"/>
  <c r="C37" i="8"/>
  <c r="D30" i="8"/>
  <c r="J30" i="8"/>
  <c r="C30" i="8"/>
  <c r="D31" i="8"/>
  <c r="J31" i="8"/>
  <c r="C31" i="8"/>
  <c r="E57" i="8"/>
  <c r="F57" i="8"/>
  <c r="G57" i="8"/>
  <c r="E56" i="8"/>
  <c r="F56" i="8"/>
  <c r="G56" i="8"/>
  <c r="E45" i="8"/>
  <c r="F45" i="8"/>
  <c r="G45" i="8"/>
  <c r="E44" i="8"/>
  <c r="F44" i="8"/>
  <c r="G44" i="8"/>
  <c r="E38" i="8"/>
  <c r="F38" i="8"/>
  <c r="G38" i="8"/>
  <c r="E37" i="8"/>
  <c r="F37" i="8"/>
  <c r="G37" i="8"/>
  <c r="E30" i="8"/>
  <c r="F30" i="8"/>
  <c r="G30" i="8"/>
  <c r="E31" i="8"/>
  <c r="F31" i="8"/>
  <c r="G31" i="8"/>
  <c r="H30" i="8"/>
  <c r="H31" i="8"/>
  <c r="H37" i="8"/>
  <c r="H38" i="8"/>
  <c r="H44" i="8"/>
  <c r="H45" i="8"/>
  <c r="H50" i="8"/>
  <c r="H51" i="8"/>
  <c r="H56" i="8"/>
  <c r="H57" i="8"/>
  <c r="H64" i="8"/>
  <c r="H65" i="8"/>
  <c r="H69" i="8"/>
  <c r="H70" i="8"/>
  <c r="H72" i="8"/>
  <c r="H71" i="8"/>
  <c r="H75" i="8"/>
  <c r="H76" i="8"/>
  <c r="H78" i="8"/>
  <c r="H81" i="8"/>
  <c r="H82" i="8"/>
  <c r="H84" i="8"/>
  <c r="H83" i="8"/>
  <c r="H86" i="8"/>
  <c r="H87" i="8"/>
  <c r="H89" i="8"/>
  <c r="H88" i="8"/>
  <c r="H91" i="8"/>
  <c r="H92" i="8"/>
  <c r="H94" i="8"/>
  <c r="H93" i="8"/>
  <c r="H96" i="8"/>
  <c r="H97" i="8"/>
  <c r="H99" i="8"/>
  <c r="H98" i="8"/>
  <c r="H101" i="8"/>
  <c r="H102" i="8"/>
  <c r="H104" i="8"/>
  <c r="H103" i="8"/>
  <c r="H106" i="8"/>
  <c r="H107" i="8"/>
  <c r="H109" i="8"/>
  <c r="H108" i="8"/>
  <c r="D96" i="8"/>
  <c r="D99" i="8"/>
  <c r="D98" i="8"/>
  <c r="J96" i="8"/>
  <c r="J99" i="8"/>
  <c r="J98" i="8"/>
  <c r="D91" i="8"/>
  <c r="D94" i="8"/>
  <c r="D93" i="8"/>
  <c r="J91" i="8"/>
  <c r="J94" i="8"/>
  <c r="J93" i="8"/>
  <c r="D81" i="8"/>
  <c r="D84" i="8"/>
  <c r="D83" i="8"/>
  <c r="J81" i="8"/>
  <c r="J84" i="8"/>
  <c r="J83" i="8"/>
  <c r="D69" i="8"/>
  <c r="D72" i="8"/>
  <c r="D71" i="8"/>
  <c r="J69" i="8"/>
  <c r="J72" i="8"/>
  <c r="J71" i="8"/>
  <c r="K106" i="8"/>
  <c r="K109" i="8"/>
  <c r="K108" i="8"/>
  <c r="I106" i="8"/>
  <c r="I109" i="8"/>
  <c r="I108" i="8"/>
  <c r="F106" i="8"/>
  <c r="F109" i="8"/>
  <c r="F108" i="8"/>
  <c r="E106" i="8"/>
  <c r="E109" i="8"/>
  <c r="E108" i="8"/>
  <c r="K101" i="8"/>
  <c r="K104" i="8"/>
  <c r="K103" i="8"/>
  <c r="I101" i="8"/>
  <c r="I104" i="8"/>
  <c r="I103" i="8"/>
  <c r="F101" i="8"/>
  <c r="F104" i="8"/>
  <c r="F103" i="8"/>
  <c r="E101" i="8"/>
  <c r="E104" i="8"/>
  <c r="E103" i="8"/>
  <c r="K96" i="8"/>
  <c r="K99" i="8"/>
  <c r="K98" i="8"/>
  <c r="I96" i="8"/>
  <c r="I99" i="8"/>
  <c r="I98" i="8"/>
  <c r="F96" i="8"/>
  <c r="F99" i="8"/>
  <c r="F98" i="8"/>
  <c r="E96" i="8"/>
  <c r="E99" i="8"/>
  <c r="E98" i="8"/>
  <c r="K91" i="8"/>
  <c r="K94" i="8"/>
  <c r="K93" i="8"/>
  <c r="I91" i="8"/>
  <c r="I94" i="8"/>
  <c r="I93" i="8"/>
  <c r="F91" i="8"/>
  <c r="F94" i="8"/>
  <c r="F93" i="8"/>
  <c r="E91" i="8"/>
  <c r="E94" i="8"/>
  <c r="E93" i="8"/>
  <c r="K86" i="8"/>
  <c r="K89" i="8"/>
  <c r="K88" i="8"/>
  <c r="J86" i="8"/>
  <c r="J89" i="8"/>
  <c r="J88" i="8"/>
  <c r="I86" i="8"/>
  <c r="I89" i="8"/>
  <c r="I88" i="8"/>
  <c r="F86" i="8"/>
  <c r="F89" i="8"/>
  <c r="F88" i="8"/>
  <c r="E86" i="8"/>
  <c r="E89" i="8"/>
  <c r="E88" i="8"/>
  <c r="D86" i="8"/>
  <c r="D89" i="8"/>
  <c r="D88" i="8"/>
  <c r="K81" i="8"/>
  <c r="K84" i="8"/>
  <c r="K83" i="8"/>
  <c r="I81" i="8"/>
  <c r="I84" i="8"/>
  <c r="I83" i="8"/>
  <c r="F81" i="8"/>
  <c r="F84" i="8"/>
  <c r="F83" i="8"/>
  <c r="E81" i="8"/>
  <c r="E84" i="8"/>
  <c r="E83" i="8"/>
  <c r="K69" i="8"/>
  <c r="K72" i="8"/>
  <c r="K71" i="8"/>
  <c r="I69" i="8"/>
  <c r="I72" i="8"/>
  <c r="I71" i="8"/>
  <c r="F69" i="8"/>
  <c r="F72" i="8"/>
  <c r="F71" i="8"/>
  <c r="E69" i="8"/>
  <c r="E72" i="8"/>
  <c r="E71" i="8"/>
  <c r="K65" i="8"/>
  <c r="I65" i="8"/>
  <c r="F65" i="8"/>
  <c r="E65" i="8"/>
  <c r="K57" i="8"/>
  <c r="I57" i="8"/>
  <c r="K51" i="8"/>
  <c r="I51" i="8"/>
  <c r="K45" i="8"/>
  <c r="I45" i="8"/>
  <c r="K38" i="8"/>
  <c r="I38" i="8"/>
  <c r="I31" i="8"/>
  <c r="K31" i="8"/>
  <c r="D97" i="8"/>
  <c r="J97" i="8"/>
  <c r="N106" i="8"/>
  <c r="N101" i="8"/>
  <c r="N96" i="8"/>
  <c r="N91" i="8"/>
  <c r="N86" i="8"/>
  <c r="N81" i="8"/>
  <c r="D75" i="8"/>
  <c r="E75" i="8"/>
  <c r="F75" i="8"/>
  <c r="I75" i="8"/>
  <c r="J75" i="8"/>
  <c r="K75" i="8"/>
  <c r="N75" i="8"/>
  <c r="N69" i="8"/>
  <c r="N63" i="8"/>
  <c r="N55" i="8"/>
  <c r="N49" i="8"/>
  <c r="N43" i="8"/>
  <c r="N29" i="8"/>
  <c r="K107" i="8"/>
  <c r="I107" i="8"/>
  <c r="F107" i="8"/>
  <c r="E107" i="8"/>
  <c r="K102" i="8"/>
  <c r="I102" i="8"/>
  <c r="F102" i="8"/>
  <c r="E102" i="8"/>
  <c r="K97" i="8"/>
  <c r="I97" i="8"/>
  <c r="F97" i="8"/>
  <c r="E97" i="8"/>
  <c r="K92" i="8"/>
  <c r="J92" i="8"/>
  <c r="I92" i="8"/>
  <c r="F92" i="8"/>
  <c r="E92" i="8"/>
  <c r="D92" i="8"/>
  <c r="K87" i="8"/>
  <c r="J87" i="8"/>
  <c r="I87" i="8"/>
  <c r="F87" i="8"/>
  <c r="E87" i="8"/>
  <c r="D87" i="8"/>
  <c r="K82" i="8"/>
  <c r="J82" i="8"/>
  <c r="I82" i="8"/>
  <c r="F82" i="8"/>
  <c r="E82" i="8"/>
  <c r="D82" i="8"/>
  <c r="E76" i="8"/>
  <c r="F76" i="8"/>
  <c r="I76" i="8"/>
  <c r="J76" i="8"/>
  <c r="K76" i="8"/>
  <c r="D76" i="8"/>
  <c r="K70" i="8"/>
  <c r="J70" i="8"/>
  <c r="I70" i="8"/>
  <c r="F70" i="8"/>
  <c r="E70" i="8"/>
  <c r="D70" i="8"/>
  <c r="K64" i="8"/>
  <c r="I64" i="8"/>
  <c r="F64" i="8"/>
  <c r="E64" i="8"/>
  <c r="K56" i="8"/>
  <c r="I56" i="8"/>
  <c r="K50" i="8"/>
  <c r="I50" i="8"/>
  <c r="K44" i="8"/>
  <c r="I44" i="8"/>
  <c r="K37" i="8"/>
  <c r="I37" i="8"/>
  <c r="I30" i="8"/>
  <c r="K30" i="8"/>
  <c r="I78" i="8"/>
  <c r="F78" i="8"/>
  <c r="E78" i="8"/>
  <c r="K78" i="8"/>
  <c r="J78" i="8"/>
  <c r="D78" i="8"/>
  <c r="N32" i="8"/>
  <c r="P32" i="8"/>
  <c r="N89" i="8"/>
  <c r="P89" i="8"/>
  <c r="N99" i="8"/>
  <c r="P99" i="8"/>
  <c r="N104" i="8"/>
  <c r="P104" i="8"/>
  <c r="L25" i="8"/>
  <c r="L111" i="8"/>
  <c r="N109" i="8"/>
  <c r="P109" i="8"/>
  <c r="N84" i="8"/>
  <c r="P84" i="8"/>
  <c r="N52" i="8"/>
  <c r="P52" i="8"/>
  <c r="N46" i="8"/>
  <c r="P46" i="8"/>
  <c r="N58" i="8"/>
  <c r="P58" i="8"/>
  <c r="N66" i="8"/>
  <c r="P66" i="8"/>
  <c r="N78" i="8"/>
  <c r="P78" i="8"/>
  <c r="N94" i="8"/>
  <c r="P94" i="8"/>
  <c r="N72" i="8"/>
  <c r="P72" i="8"/>
  <c r="L112" i="8"/>
  <c r="N112" i="8"/>
  <c r="P112" i="8"/>
  <c r="L26" i="8"/>
  <c r="N39" i="8"/>
  <c r="P39" i="8"/>
  <c r="L18" i="8"/>
  <c r="L17" i="8"/>
</calcChain>
</file>

<file path=xl/sharedStrings.xml><?xml version="1.0" encoding="utf-8"?>
<sst xmlns="http://schemas.openxmlformats.org/spreadsheetml/2006/main" count="130" uniqueCount="66">
  <si>
    <t>Parameter</t>
  </si>
  <si>
    <t>Gas flow, acfm</t>
  </si>
  <si>
    <t>Gas flow, dscfm</t>
  </si>
  <si>
    <t>Gas temperature, oF</t>
  </si>
  <si>
    <t>Gas moisture, % by volume</t>
  </si>
  <si>
    <t>Oxygen content, % by volume</t>
  </si>
  <si>
    <t>Carbon dioxide content, % by volume</t>
  </si>
  <si>
    <t>Isokinetic ratio, %</t>
  </si>
  <si>
    <t>Production Rate:</t>
  </si>
  <si>
    <t>Charged Weight per Heat (Ton per Hour)</t>
  </si>
  <si>
    <t>lb/hr</t>
  </si>
  <si>
    <t>lb/ton of production</t>
  </si>
  <si>
    <t>ppm</t>
  </si>
  <si>
    <t>Volatile Organic Compound Emissions:</t>
  </si>
  <si>
    <t>BH 8</t>
  </si>
  <si>
    <t>BH 9</t>
  </si>
  <si>
    <t>BH 10</t>
  </si>
  <si>
    <t>BH 11</t>
  </si>
  <si>
    <t>BH 2</t>
  </si>
  <si>
    <t>BH 5</t>
  </si>
  <si>
    <t>BH 6</t>
  </si>
  <si>
    <t>TOTAL</t>
  </si>
  <si>
    <t>McConway &amp; Torley, LLC</t>
  </si>
  <si>
    <t>Pittsburgh, Pennsylvania</t>
  </si>
  <si>
    <t>Duration (min)</t>
  </si>
  <si>
    <t>Nitrogen Oxide Emissions:</t>
  </si>
  <si>
    <t>Carbon Monoxide Emissions:</t>
  </si>
  <si>
    <t>Non Methane Non Ethane Volatile Organic Compound Emissions:</t>
  </si>
  <si>
    <t>NMNEVOC with Acetone Subtraction Emissions:</t>
  </si>
  <si>
    <t>HAP EMISSIONS:</t>
  </si>
  <si>
    <t>TOTAL HAPS</t>
  </si>
  <si>
    <t>Test Dates:  November 10 and 11, 2016</t>
  </si>
  <si>
    <r>
      <t>Benzene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:</t>
    </r>
  </si>
  <si>
    <r>
      <t>Toluene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:</t>
    </r>
  </si>
  <si>
    <r>
      <t>Ethylbenzene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:</t>
    </r>
  </si>
  <si>
    <r>
      <t>Xylenes (Total)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:</t>
    </r>
  </si>
  <si>
    <t>Escalation Factor</t>
  </si>
  <si>
    <t xml:space="preserve">Emissions at </t>
  </si>
  <si>
    <t>92,500 TPY</t>
  </si>
  <si>
    <t>Steel Production</t>
  </si>
  <si>
    <t>(Tons)</t>
  </si>
  <si>
    <t>Major Source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</si>
  <si>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For tested BH (Nos. 8 and 11); values based on ratio of reported value to maximum concentration of benzene (Method TO-15 results).  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</si>
  <si>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Method TO-15 results.</t>
    </r>
  </si>
  <si>
    <t>Value with 25 %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</si>
  <si>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For non tested BH (Nos. 2, 5, and 6); values estimated based on Method 18 ratio of compound to benzene concentration for BH No. 8.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</si>
  <si>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For non tested BH (9 and 10); values estimated based on determined Method 18 ratio of compound to benzene concentration for BH No. 11.</t>
    </r>
  </si>
  <si>
    <r>
      <t>Hexane</t>
    </r>
    <r>
      <rPr>
        <b/>
        <vertAlign val="superscript"/>
        <sz val="12"/>
        <rFont val="Times New Roman"/>
        <family val="1"/>
      </rPr>
      <t>2,3,4</t>
    </r>
    <r>
      <rPr>
        <b/>
        <sz val="12"/>
        <rFont val="Times New Roman"/>
        <family val="1"/>
      </rPr>
      <t>:</t>
    </r>
  </si>
  <si>
    <r>
      <t>Aniline</t>
    </r>
    <r>
      <rPr>
        <b/>
        <vertAlign val="superscript"/>
        <sz val="12"/>
        <rFont val="Times New Roman"/>
        <family val="1"/>
      </rPr>
      <t>2,3,4</t>
    </r>
    <r>
      <rPr>
        <b/>
        <sz val="12"/>
        <rFont val="Times New Roman"/>
        <family val="1"/>
      </rPr>
      <t>:</t>
    </r>
  </si>
  <si>
    <r>
      <t>Phenol</t>
    </r>
    <r>
      <rPr>
        <b/>
        <vertAlign val="superscript"/>
        <sz val="12"/>
        <rFont val="Times New Roman"/>
        <family val="1"/>
      </rPr>
      <t>2,3,4</t>
    </r>
    <r>
      <rPr>
        <b/>
        <sz val="12"/>
        <rFont val="Times New Roman"/>
        <family val="1"/>
      </rPr>
      <t>:</t>
    </r>
  </si>
  <si>
    <r>
      <t>Naphthalene</t>
    </r>
    <r>
      <rPr>
        <b/>
        <vertAlign val="superscript"/>
        <sz val="12"/>
        <rFont val="Times New Roman"/>
        <family val="1"/>
      </rPr>
      <t>2,3,4</t>
    </r>
    <r>
      <rPr>
        <b/>
        <sz val="12"/>
        <rFont val="Times New Roman"/>
        <family val="1"/>
      </rPr>
      <t>:</t>
    </r>
  </si>
  <si>
    <r>
      <t>Cresol (Total)</t>
    </r>
    <r>
      <rPr>
        <b/>
        <vertAlign val="superscript"/>
        <sz val="12"/>
        <rFont val="Times New Roman"/>
        <family val="1"/>
      </rPr>
      <t>2,3,4</t>
    </r>
    <r>
      <rPr>
        <b/>
        <sz val="12"/>
        <rFont val="Times New Roman"/>
        <family val="1"/>
      </rPr>
      <t>:</t>
    </r>
  </si>
  <si>
    <t>Threshold</t>
  </si>
  <si>
    <t>Test Date</t>
  </si>
  <si>
    <t>7 Dust Collector Exhaust Test Results Summary and Evaluation</t>
  </si>
  <si>
    <t>Prepared 9-8-17</t>
  </si>
  <si>
    <t>Updated 9-22-17</t>
  </si>
  <si>
    <t>Shortened (6 Hour/ 6.3 Hour) Test Duration, 8:00 am Test Start</t>
  </si>
  <si>
    <t>lb/hr (stack test result)</t>
  </si>
  <si>
    <t>lb/hr (stack test result +25%, +15%)</t>
  </si>
  <si>
    <t>ton/yr (stack test result +25, +15%)</t>
  </si>
  <si>
    <t>BH 9+10</t>
  </si>
  <si>
    <t>BH 8+5</t>
  </si>
  <si>
    <t>lb/ton of production +25%, +15%</t>
  </si>
  <si>
    <t>Updated 11-1-17</t>
  </si>
  <si>
    <t>Revised ACHD Melt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</si>
</sst>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\ d\,\ yyyy"/>
    <numFmt numFmtId="165" formatCode="0.0_)"/>
    <numFmt numFmtId="166" formatCode="0.00_)"/>
    <numFmt numFmtId="167" formatCode="0.0000_)"/>
    <numFmt numFmtId="168" formatCode="0.0000"/>
    <numFmt numFmtId="169" formatCode="0.000"/>
  </numFmts>
  <fonts count="1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vertAlign val="superscript"/>
      <sz val="12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3" fontId="3" fillId="0" borderId="2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69" fontId="3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2" fontId="0" fillId="0" borderId="0" xfId="0" applyNumberFormat="1" applyFill="1" applyBorder="1"/>
    <xf numFmtId="1" fontId="4" fillId="0" borderId="0" xfId="0" applyNumberFormat="1" applyFont="1" applyFill="1" applyBorder="1"/>
    <xf numFmtId="1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1" fillId="0" borderId="0" xfId="0" applyFont="1" applyFill="1" applyBorder="1"/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 wrapText="1"/>
    </xf>
    <xf numFmtId="168" fontId="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8" fontId="1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0" fillId="0" borderId="10" xfId="0" applyFill="1" applyBorder="1"/>
    <xf numFmtId="0" fontId="0" fillId="0" borderId="9" xfId="0" applyFill="1" applyBorder="1"/>
    <xf numFmtId="0" fontId="11" fillId="0" borderId="10" xfId="0" applyFont="1" applyFill="1" applyBorder="1"/>
    <xf numFmtId="2" fontId="11" fillId="0" borderId="10" xfId="0" applyNumberFormat="1" applyFont="1" applyFill="1" applyBorder="1" applyAlignment="1">
      <alignment horizontal="center"/>
    </xf>
    <xf numFmtId="2" fontId="11" fillId="0" borderId="10" xfId="0" applyNumberFormat="1" applyFont="1" applyFill="1" applyBorder="1"/>
    <xf numFmtId="1" fontId="0" fillId="0" borderId="8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1" fillId="0" borderId="8" xfId="0" applyFont="1" applyFill="1" applyBorder="1" applyAlignment="1"/>
    <xf numFmtId="1" fontId="2" fillId="0" borderId="8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68" fontId="10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0" fontId="0" fillId="0" borderId="13" xfId="0" applyFill="1" applyBorder="1"/>
    <xf numFmtId="1" fontId="2" fillId="0" borderId="14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8" fontId="13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/>
    <xf numFmtId="0" fontId="5" fillId="0" borderId="0" xfId="0" applyFont="1" applyFill="1"/>
    <xf numFmtId="168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2" fillId="0" borderId="0" xfId="0" quotePrefix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8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7" fillId="0" borderId="0" xfId="0" applyFont="1" applyFill="1"/>
    <xf numFmtId="1" fontId="7" fillId="0" borderId="0" xfId="0" applyNumberFormat="1" applyFont="1" applyFill="1" applyAlignment="1">
      <alignment horizontal="center"/>
    </xf>
    <xf numFmtId="16" fontId="0" fillId="0" borderId="0" xfId="0" applyNumberFormat="1" applyFill="1" applyAlignment="1">
      <alignment horizontal="center"/>
    </xf>
    <xf numFmtId="0" fontId="2" fillId="0" borderId="15" xfId="0" applyFont="1" applyFill="1" applyBorder="1" applyAlignment="1">
      <alignment horizontal="left"/>
    </xf>
    <xf numFmtId="16" fontId="0" fillId="0" borderId="15" xfId="0" applyNumberForma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2" fontId="13" fillId="0" borderId="10" xfId="0" applyNumberFormat="1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2" xfId="0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2" xfId="0" applyFont="1" applyFill="1" applyBorder="1"/>
    <xf numFmtId="0" fontId="3" fillId="0" borderId="2" xfId="0" applyFont="1" applyFill="1" applyBorder="1"/>
    <xf numFmtId="169" fontId="3" fillId="0" borderId="2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165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/>
    <xf numFmtId="166" fontId="3" fillId="0" borderId="8" xfId="0" applyNumberFormat="1" applyFont="1" applyFill="1" applyBorder="1" applyAlignment="1">
      <alignment horizontal="center"/>
    </xf>
    <xf numFmtId="168" fontId="3" fillId="0" borderId="8" xfId="0" applyNumberFormat="1" applyFont="1" applyFill="1" applyBorder="1" applyAlignment="1">
      <alignment horizontal="center"/>
    </xf>
    <xf numFmtId="0" fontId="0" fillId="0" borderId="11" xfId="0" applyFill="1" applyBorder="1"/>
    <xf numFmtId="168" fontId="14" fillId="0" borderId="0" xfId="0" applyNumberFormat="1" applyFont="1" applyFill="1" applyBorder="1" applyAlignment="1">
      <alignment horizontal="center"/>
    </xf>
    <xf numFmtId="165" fontId="15" fillId="0" borderId="2" xfId="0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9" fontId="15" fillId="0" borderId="2" xfId="0" applyNumberFormat="1" applyFont="1" applyFill="1" applyBorder="1" applyAlignment="1">
      <alignment horizontal="center"/>
    </xf>
    <xf numFmtId="0" fontId="18" fillId="0" borderId="0" xfId="0" applyFont="1" applyFill="1"/>
    <xf numFmtId="0" fontId="0" fillId="0" borderId="0" xfId="0" applyFill="1" applyBorder="1" applyAlignment="1">
      <alignment horizontal="right"/>
    </xf>
    <xf numFmtId="166" fontId="17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167" fontId="3" fillId="0" borderId="2" xfId="0" applyNumberFormat="1" applyFont="1" applyFill="1" applyBorder="1" applyAlignment="1">
      <alignment horizontal="center"/>
    </xf>
    <xf numFmtId="0" fontId="0" fillId="0" borderId="7" xfId="0" applyFill="1" applyBorder="1"/>
    <xf numFmtId="169" fontId="3" fillId="0" borderId="3" xfId="0" applyNumberFormat="1" applyFont="1" applyFill="1" applyBorder="1" applyAlignment="1">
      <alignment horizontal="center"/>
    </xf>
    <xf numFmtId="169" fontId="3" fillId="0" borderId="3" xfId="0" applyNumberFormat="1" applyFont="1" applyFill="1" applyBorder="1"/>
    <xf numFmtId="0" fontId="0" fillId="0" borderId="3" xfId="0" applyFill="1" applyBorder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/>
    <xf numFmtId="169" fontId="3" fillId="0" borderId="16" xfId="0" applyNumberFormat="1" applyFont="1" applyFill="1" applyBorder="1" applyAlignment="1">
      <alignment horizontal="center"/>
    </xf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7" xfId="0" applyFill="1" applyBorder="1"/>
    <xf numFmtId="0" fontId="3" fillId="0" borderId="5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5"/>
  <sheetViews>
    <sheetView tabSelected="1" zoomScale="50" zoomScaleNormal="50" workbookViewId="0">
      <selection activeCell="V20" sqref="V20"/>
    </sheetView>
  </sheetViews>
  <sheetFormatPr defaultRowHeight="15" x14ac:dyDescent="0.25"/>
  <cols>
    <col min="1" max="1" width="9.140625" style="9"/>
    <col min="2" max="2" width="36.7109375" style="9" customWidth="1"/>
    <col min="3" max="3" width="11.5703125" style="9" bestFit="1" customWidth="1"/>
    <col min="4" max="12" width="15.7109375" style="9" customWidth="1"/>
    <col min="13" max="13" width="5.140625" style="9" customWidth="1"/>
    <col min="14" max="14" width="13.42578125" style="58" customWidth="1"/>
    <col min="15" max="15" width="3.5703125" style="59" customWidth="1"/>
    <col min="16" max="16" width="15.7109375" style="60" customWidth="1"/>
    <col min="17" max="17" width="3.5703125" style="9" customWidth="1"/>
    <col min="18" max="18" width="13.140625" style="61" customWidth="1"/>
    <col min="19" max="20" width="15.7109375" style="9" customWidth="1"/>
    <col min="21" max="21" width="4.42578125" style="9" customWidth="1"/>
    <col min="22" max="22" width="22" style="9" customWidth="1"/>
    <col min="23" max="23" width="4.42578125" style="9" customWidth="1"/>
    <col min="24" max="24" width="15.7109375" style="9" customWidth="1"/>
    <col min="25" max="25" width="23.5703125" style="9" customWidth="1"/>
    <col min="26" max="16384" width="9.140625" style="9"/>
  </cols>
  <sheetData>
    <row r="1" spans="2:29" ht="18.75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4" spans="2:29" ht="15.75" x14ac:dyDescent="0.25">
      <c r="B4" s="57" t="s">
        <v>22</v>
      </c>
      <c r="C4" s="57"/>
    </row>
    <row r="5" spans="2:29" ht="15.75" x14ac:dyDescent="0.25">
      <c r="B5" s="62" t="s">
        <v>23</v>
      </c>
      <c r="C5" s="62"/>
    </row>
    <row r="6" spans="2:29" ht="15.75" x14ac:dyDescent="0.25">
      <c r="B6" s="63" t="s">
        <v>54</v>
      </c>
      <c r="C6" s="63"/>
    </row>
    <row r="7" spans="2:29" ht="15.75" x14ac:dyDescent="0.25">
      <c r="B7" s="63" t="s">
        <v>31</v>
      </c>
      <c r="C7" s="63"/>
    </row>
    <row r="8" spans="2:29" ht="15.75" x14ac:dyDescent="0.25">
      <c r="B8" s="63" t="s">
        <v>57</v>
      </c>
      <c r="C8" s="63"/>
    </row>
    <row r="9" spans="2:29" ht="15.75" x14ac:dyDescent="0.25">
      <c r="B9" s="63" t="s">
        <v>65</v>
      </c>
      <c r="C9" s="63"/>
    </row>
    <row r="10" spans="2:29" ht="15.75" x14ac:dyDescent="0.25">
      <c r="B10" s="99" t="s">
        <v>55</v>
      </c>
      <c r="C10" s="99"/>
    </row>
    <row r="11" spans="2:29" ht="15.75" x14ac:dyDescent="0.25">
      <c r="B11" s="99" t="s">
        <v>56</v>
      </c>
      <c r="C11" s="99"/>
    </row>
    <row r="12" spans="2:29" ht="15.75" x14ac:dyDescent="0.25">
      <c r="B12" s="99" t="s">
        <v>64</v>
      </c>
      <c r="C12" s="99"/>
      <c r="N12" s="64"/>
      <c r="O12" s="65"/>
      <c r="P12" s="49" t="s">
        <v>37</v>
      </c>
      <c r="Q12" s="66"/>
      <c r="R12" s="67"/>
    </row>
    <row r="13" spans="2:29" x14ac:dyDescent="0.25">
      <c r="B13" s="96"/>
      <c r="C13" s="96"/>
      <c r="N13" s="64"/>
      <c r="O13" s="50"/>
      <c r="P13" s="49" t="s">
        <v>38</v>
      </c>
      <c r="Q13" s="51"/>
      <c r="R13" s="52" t="s">
        <v>41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2:29" x14ac:dyDescent="0.25">
      <c r="D14" s="68"/>
      <c r="E14" s="68"/>
      <c r="F14" s="68"/>
      <c r="G14" s="68"/>
      <c r="H14" s="68"/>
      <c r="I14" s="68"/>
      <c r="J14" s="68"/>
      <c r="K14" s="68"/>
      <c r="N14" s="53" t="s">
        <v>44</v>
      </c>
      <c r="O14" s="50"/>
      <c r="P14" s="54" t="s">
        <v>39</v>
      </c>
      <c r="Q14" s="51"/>
      <c r="R14" s="52" t="s">
        <v>52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2:29" ht="15.75" x14ac:dyDescent="0.25">
      <c r="B15" s="69" t="s">
        <v>53</v>
      </c>
      <c r="C15" s="69"/>
      <c r="D15" s="70">
        <v>42685</v>
      </c>
      <c r="E15" s="70">
        <v>42684</v>
      </c>
      <c r="F15" s="70">
        <v>42684</v>
      </c>
      <c r="G15" s="70"/>
      <c r="H15" s="70">
        <v>42684</v>
      </c>
      <c r="I15" s="70">
        <v>42685</v>
      </c>
      <c r="J15" s="70">
        <v>42684</v>
      </c>
      <c r="K15" s="70">
        <v>42685</v>
      </c>
      <c r="L15" s="71"/>
      <c r="M15" s="34"/>
      <c r="N15" s="55" t="s">
        <v>36</v>
      </c>
      <c r="O15" s="33"/>
      <c r="P15" s="72" t="s">
        <v>40</v>
      </c>
      <c r="Q15" s="56"/>
      <c r="R15" s="73" t="s">
        <v>40</v>
      </c>
      <c r="S15" s="22"/>
      <c r="T15" s="22"/>
      <c r="U15" s="13"/>
      <c r="V15" s="13"/>
      <c r="W15" s="13"/>
      <c r="X15" s="13"/>
      <c r="Y15" s="13"/>
      <c r="Z15" s="13"/>
      <c r="AA15" s="13"/>
      <c r="AB15" s="13"/>
      <c r="AC15" s="13"/>
    </row>
    <row r="16" spans="2:29" ht="16.5" thickBot="1" x14ac:dyDescent="0.3">
      <c r="B16" s="74" t="s">
        <v>0</v>
      </c>
      <c r="C16" s="74" t="s">
        <v>62</v>
      </c>
      <c r="D16" s="18" t="s">
        <v>14</v>
      </c>
      <c r="E16" s="18" t="s">
        <v>15</v>
      </c>
      <c r="F16" s="18" t="s">
        <v>16</v>
      </c>
      <c r="G16" s="18" t="s">
        <v>61</v>
      </c>
      <c r="H16" s="18" t="s">
        <v>17</v>
      </c>
      <c r="I16" s="18" t="s">
        <v>18</v>
      </c>
      <c r="J16" s="18" t="s">
        <v>19</v>
      </c>
      <c r="K16" s="18" t="s">
        <v>20</v>
      </c>
      <c r="L16" s="18" t="s">
        <v>21</v>
      </c>
      <c r="M16" s="75"/>
      <c r="N16" s="44">
        <v>1.25</v>
      </c>
      <c r="O16" s="45"/>
      <c r="P16" s="46">
        <v>92500</v>
      </c>
      <c r="Q16" s="47"/>
      <c r="R16" s="48"/>
      <c r="S16" s="10"/>
      <c r="T16" s="10"/>
      <c r="U16" s="13"/>
      <c r="V16" s="10"/>
      <c r="W16" s="13"/>
      <c r="X16" s="10"/>
      <c r="Y16" s="10"/>
      <c r="Z16" s="13"/>
      <c r="AA16" s="13"/>
      <c r="AB16" s="13"/>
      <c r="AC16" s="13"/>
    </row>
    <row r="17" spans="2:29" ht="15.75" x14ac:dyDescent="0.25">
      <c r="B17" s="76" t="s">
        <v>1</v>
      </c>
      <c r="C17" s="76"/>
      <c r="D17" s="1">
        <v>71680</v>
      </c>
      <c r="E17" s="1">
        <v>12883</v>
      </c>
      <c r="F17" s="1">
        <v>35299</v>
      </c>
      <c r="G17" s="1"/>
      <c r="H17" s="1">
        <v>86394</v>
      </c>
      <c r="I17" s="1">
        <v>21961</v>
      </c>
      <c r="J17" s="1">
        <v>39714</v>
      </c>
      <c r="K17" s="1">
        <v>64388</v>
      </c>
      <c r="L17" s="1">
        <f>SUM(D17:K17)</f>
        <v>332319</v>
      </c>
      <c r="N17" s="28"/>
      <c r="O17" s="23"/>
      <c r="P17" s="25"/>
      <c r="Q17" s="13"/>
      <c r="R17" s="39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2:29" ht="15.75" x14ac:dyDescent="0.25">
      <c r="B18" s="76" t="s">
        <v>2</v>
      </c>
      <c r="C18" s="76"/>
      <c r="D18" s="1">
        <v>65945</v>
      </c>
      <c r="E18" s="1">
        <v>11174</v>
      </c>
      <c r="F18" s="1">
        <v>30796</v>
      </c>
      <c r="G18" s="1"/>
      <c r="H18" s="1">
        <v>78232</v>
      </c>
      <c r="I18" s="1">
        <v>20316</v>
      </c>
      <c r="J18" s="1">
        <v>36052</v>
      </c>
      <c r="K18" s="1">
        <v>60750</v>
      </c>
      <c r="L18" s="1">
        <f>SUM(D18:K18)</f>
        <v>303265</v>
      </c>
      <c r="N18" s="28"/>
      <c r="O18" s="23"/>
      <c r="P18" s="25"/>
      <c r="Q18" s="13"/>
      <c r="R18" s="39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2:29" ht="15.75" x14ac:dyDescent="0.25">
      <c r="B19" s="76" t="s">
        <v>3</v>
      </c>
      <c r="C19" s="76"/>
      <c r="D19" s="3">
        <v>86.1</v>
      </c>
      <c r="E19" s="3">
        <v>121.8</v>
      </c>
      <c r="F19" s="3">
        <v>121.7</v>
      </c>
      <c r="G19" s="3"/>
      <c r="H19" s="3">
        <v>103.8</v>
      </c>
      <c r="I19" s="3">
        <v>89.2</v>
      </c>
      <c r="J19" s="3">
        <v>94.4</v>
      </c>
      <c r="K19" s="3">
        <v>78.599999999999994</v>
      </c>
      <c r="L19" s="3"/>
      <c r="N19" s="28"/>
      <c r="O19" s="23"/>
      <c r="P19" s="25"/>
      <c r="Q19" s="13"/>
      <c r="R19" s="39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2:29" ht="15.75" x14ac:dyDescent="0.25">
      <c r="B20" s="76" t="s">
        <v>4</v>
      </c>
      <c r="C20" s="76"/>
      <c r="D20" s="3">
        <v>1.6</v>
      </c>
      <c r="E20" s="3">
        <v>1.3</v>
      </c>
      <c r="F20" s="3">
        <v>0.8</v>
      </c>
      <c r="G20" s="3"/>
      <c r="H20" s="3">
        <v>1.4</v>
      </c>
      <c r="I20" s="3">
        <v>1.1000000000000001</v>
      </c>
      <c r="J20" s="3">
        <v>2.2000000000000002</v>
      </c>
      <c r="K20" s="3">
        <v>1</v>
      </c>
      <c r="L20" s="3"/>
      <c r="N20" s="28"/>
      <c r="O20" s="23"/>
      <c r="P20" s="25"/>
      <c r="Q20" s="13"/>
      <c r="R20" s="39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29" ht="15.75" x14ac:dyDescent="0.25">
      <c r="B21" s="76" t="s">
        <v>5</v>
      </c>
      <c r="C21" s="76"/>
      <c r="D21" s="3">
        <v>20.3</v>
      </c>
      <c r="E21" s="3">
        <v>20.9</v>
      </c>
      <c r="F21" s="3">
        <v>20.8</v>
      </c>
      <c r="G21" s="3"/>
      <c r="H21" s="3">
        <v>20.2</v>
      </c>
      <c r="I21" s="3">
        <v>21</v>
      </c>
      <c r="J21" s="3">
        <v>20.399999999999999</v>
      </c>
      <c r="K21" s="3">
        <v>20.100000000000001</v>
      </c>
      <c r="L21" s="3"/>
      <c r="N21" s="28"/>
      <c r="O21" s="23"/>
      <c r="P21" s="25"/>
      <c r="Q21" s="13"/>
      <c r="R21" s="39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29" ht="17.25" customHeight="1" x14ac:dyDescent="0.25">
      <c r="B22" s="76" t="s">
        <v>6</v>
      </c>
      <c r="C22" s="76"/>
      <c r="D22" s="94">
        <v>0.06</v>
      </c>
      <c r="E22" s="3">
        <v>0.2</v>
      </c>
      <c r="F22" s="3">
        <v>0.1</v>
      </c>
      <c r="G22" s="3"/>
      <c r="H22" s="3">
        <v>0.3</v>
      </c>
      <c r="I22" s="3">
        <v>0.1</v>
      </c>
      <c r="J22" s="3">
        <v>0</v>
      </c>
      <c r="K22" s="3">
        <v>0.1</v>
      </c>
      <c r="L22" s="3"/>
      <c r="N22" s="28"/>
      <c r="O22" s="23"/>
      <c r="P22" s="25"/>
      <c r="Q22" s="13"/>
      <c r="R22" s="39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29" ht="15.75" x14ac:dyDescent="0.25">
      <c r="B23" s="77" t="s">
        <v>7</v>
      </c>
      <c r="C23" s="77"/>
      <c r="D23" s="4">
        <v>1</v>
      </c>
      <c r="E23" s="4">
        <v>1</v>
      </c>
      <c r="F23" s="4">
        <v>1</v>
      </c>
      <c r="G23" s="4"/>
      <c r="H23" s="4">
        <v>1</v>
      </c>
      <c r="I23" s="4">
        <v>1</v>
      </c>
      <c r="J23" s="4">
        <v>1</v>
      </c>
      <c r="K23" s="4">
        <v>1</v>
      </c>
      <c r="L23" s="4"/>
      <c r="N23" s="28"/>
      <c r="O23" s="23"/>
      <c r="P23" s="25"/>
      <c r="Q23" s="13"/>
      <c r="R23" s="39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29" ht="17.25" customHeight="1" x14ac:dyDescent="0.25">
      <c r="B24" s="20" t="s">
        <v>8</v>
      </c>
      <c r="C24" s="20"/>
      <c r="D24" s="3"/>
      <c r="E24" s="3"/>
      <c r="F24" s="3"/>
      <c r="G24" s="3"/>
      <c r="H24" s="3"/>
      <c r="I24" s="3"/>
      <c r="J24" s="3"/>
      <c r="K24" s="3"/>
      <c r="L24" s="3"/>
      <c r="N24" s="28"/>
      <c r="O24" s="23"/>
      <c r="P24" s="25"/>
      <c r="Q24" s="13"/>
      <c r="R24" s="39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29" ht="17.25" customHeight="1" x14ac:dyDescent="0.25">
      <c r="B25" s="76" t="s">
        <v>24</v>
      </c>
      <c r="C25" s="76"/>
      <c r="D25" s="90">
        <v>378</v>
      </c>
      <c r="E25" s="90">
        <v>360</v>
      </c>
      <c r="F25" s="90">
        <v>360</v>
      </c>
      <c r="G25" s="90"/>
      <c r="H25" s="90">
        <v>360</v>
      </c>
      <c r="I25" s="90">
        <v>378</v>
      </c>
      <c r="J25" s="90">
        <v>360</v>
      </c>
      <c r="K25" s="90">
        <v>378</v>
      </c>
      <c r="L25" s="2">
        <f>SUM(D25:K25)/7</f>
        <v>367.71428571428572</v>
      </c>
      <c r="N25" s="28"/>
      <c r="O25" s="23"/>
      <c r="P25" s="25"/>
      <c r="Q25" s="13"/>
      <c r="R25" s="39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2:29" ht="17.25" customHeight="1" x14ac:dyDescent="0.25">
      <c r="B26" s="77" t="s">
        <v>9</v>
      </c>
      <c r="C26" s="77"/>
      <c r="D26" s="98">
        <v>16.27</v>
      </c>
      <c r="E26" s="98">
        <v>15.62</v>
      </c>
      <c r="F26" s="98">
        <v>15.62</v>
      </c>
      <c r="G26" s="98"/>
      <c r="H26" s="98">
        <v>15.62</v>
      </c>
      <c r="I26" s="98">
        <v>16.27</v>
      </c>
      <c r="J26" s="98">
        <v>15.62</v>
      </c>
      <c r="K26" s="98">
        <v>16.27</v>
      </c>
      <c r="L26" s="7">
        <f>SUM(D26:K26)/7</f>
        <v>15.898571428571428</v>
      </c>
      <c r="N26" s="28"/>
      <c r="O26" s="23"/>
      <c r="P26" s="25"/>
      <c r="Q26" s="13"/>
      <c r="R26" s="39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2:29" ht="17.25" customHeight="1" x14ac:dyDescent="0.25">
      <c r="B27" s="78" t="s">
        <v>26</v>
      </c>
      <c r="C27" s="78"/>
      <c r="D27" s="5"/>
      <c r="E27" s="5"/>
      <c r="F27" s="5"/>
      <c r="G27" s="5"/>
      <c r="H27" s="19"/>
      <c r="I27" s="5"/>
      <c r="J27" s="5"/>
      <c r="K27" s="19"/>
      <c r="L27" s="19"/>
      <c r="N27" s="28"/>
      <c r="O27" s="23"/>
      <c r="P27" s="25"/>
      <c r="Q27" s="13"/>
      <c r="R27" s="3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2:29" ht="17.25" customHeight="1" x14ac:dyDescent="0.25">
      <c r="B28" s="79" t="s">
        <v>12</v>
      </c>
      <c r="C28" s="79"/>
      <c r="D28" s="93">
        <v>18.100000000000001</v>
      </c>
      <c r="E28" s="93">
        <v>31.7</v>
      </c>
      <c r="F28" s="93">
        <v>35.1</v>
      </c>
      <c r="G28" s="93"/>
      <c r="H28" s="93">
        <v>28.4</v>
      </c>
      <c r="I28" s="93">
        <v>10.9</v>
      </c>
      <c r="J28" s="93">
        <v>7</v>
      </c>
      <c r="K28" s="93">
        <v>11.9</v>
      </c>
      <c r="L28" s="3"/>
      <c r="N28" s="89"/>
      <c r="O28" s="23"/>
      <c r="P28" s="25"/>
      <c r="Q28" s="13"/>
      <c r="R28" s="39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2:29" ht="17.25" customHeight="1" x14ac:dyDescent="0.25">
      <c r="B29" s="80" t="s">
        <v>58</v>
      </c>
      <c r="C29" s="8">
        <f>D29+J29</f>
        <v>6.3070196239294063</v>
      </c>
      <c r="D29" s="8">
        <f t="shared" ref="D29:K29" si="0">D28*D18*60*28.01/385300000</f>
        <v>5.2062593373994295</v>
      </c>
      <c r="E29" s="8">
        <f t="shared" si="0"/>
        <v>1.5450170606799896</v>
      </c>
      <c r="F29" s="8">
        <f t="shared" si="0"/>
        <v>4.71483802688814</v>
      </c>
      <c r="G29" s="8">
        <f>SUM(E29:F29)</f>
        <v>6.2598550875681296</v>
      </c>
      <c r="H29" s="8">
        <f t="shared" si="0"/>
        <v>9.6909895076044634</v>
      </c>
      <c r="I29" s="8">
        <f t="shared" si="0"/>
        <v>0.96589529883207903</v>
      </c>
      <c r="J29" s="8">
        <f t="shared" si="0"/>
        <v>1.1007602865299768</v>
      </c>
      <c r="K29" s="8">
        <f t="shared" si="0"/>
        <v>3.1532513755515184</v>
      </c>
      <c r="L29" s="8">
        <f>SUM(C29+G29+H29+I29+K29)</f>
        <v>26.3770108934856</v>
      </c>
      <c r="N29" s="91">
        <f>L29*N$16</f>
        <v>32.971263616857001</v>
      </c>
      <c r="O29" s="23"/>
      <c r="P29" s="25"/>
      <c r="Q29" s="13"/>
      <c r="R29" s="39"/>
      <c r="S29" s="13"/>
      <c r="T29" s="97"/>
      <c r="U29" s="13"/>
      <c r="V29" s="13"/>
      <c r="W29" s="13"/>
      <c r="X29" s="13"/>
      <c r="Y29" s="13"/>
      <c r="Z29" s="13"/>
      <c r="AA29" s="13"/>
      <c r="AB29" s="13"/>
      <c r="AC29" s="13"/>
    </row>
    <row r="30" spans="2:29" ht="17.25" customHeight="1" x14ac:dyDescent="0.25">
      <c r="B30" s="80" t="s">
        <v>59</v>
      </c>
      <c r="C30" s="8">
        <f t="shared" ref="C30:C31" si="1">D30+J30</f>
        <v>9.0663407093985207</v>
      </c>
      <c r="D30" s="8">
        <f>D29*1.25*1.15</f>
        <v>7.4839977975116794</v>
      </c>
      <c r="E30" s="8">
        <f t="shared" ref="E30:K30" si="2">E29*1.25*1.15</f>
        <v>2.2209620247274846</v>
      </c>
      <c r="F30" s="8">
        <f t="shared" si="2"/>
        <v>6.7775796636517001</v>
      </c>
      <c r="G30" s="8">
        <f t="shared" ref="G30:G31" si="3">SUM(E30:F30)</f>
        <v>8.9985416883791842</v>
      </c>
      <c r="H30" s="8">
        <f t="shared" si="2"/>
        <v>13.930797417181415</v>
      </c>
      <c r="I30" s="8">
        <f t="shared" si="2"/>
        <v>1.3884744920711134</v>
      </c>
      <c r="J30" s="8">
        <f t="shared" si="2"/>
        <v>1.5823429118868415</v>
      </c>
      <c r="K30" s="8">
        <f t="shared" si="2"/>
        <v>4.5327988523553069</v>
      </c>
      <c r="L30" s="8"/>
      <c r="N30" s="91"/>
      <c r="O30" s="23"/>
      <c r="P30" s="25"/>
      <c r="Q30" s="13"/>
      <c r="R30" s="39"/>
      <c r="S30" s="13"/>
      <c r="T30" s="97"/>
      <c r="U30" s="13"/>
      <c r="V30" s="13"/>
      <c r="W30" s="13"/>
      <c r="X30" s="13"/>
      <c r="Y30" s="13"/>
      <c r="Z30" s="13"/>
      <c r="AA30" s="13"/>
      <c r="AB30" s="13"/>
      <c r="AC30" s="13"/>
    </row>
    <row r="31" spans="2:29" ht="17.25" customHeight="1" x14ac:dyDescent="0.25">
      <c r="B31" s="80" t="s">
        <v>60</v>
      </c>
      <c r="C31" s="8">
        <f t="shared" si="1"/>
        <v>25.959659502205596</v>
      </c>
      <c r="D31" s="94">
        <f>D32*92500*1.25*1.15/2000</f>
        <v>21.274425208046416</v>
      </c>
      <c r="E31" s="94">
        <f>E32*92500*1.25*1.15/2000</f>
        <v>6.5761519618211377</v>
      </c>
      <c r="F31" s="94">
        <f>F32*92500*1.25*1.15/2000</f>
        <v>20.068057582835547</v>
      </c>
      <c r="G31" s="8">
        <f t="shared" si="3"/>
        <v>26.644209544656682</v>
      </c>
      <c r="H31" s="94">
        <f>H32*92500*1.25*1.15/2000</f>
        <v>41.248359830002592</v>
      </c>
      <c r="I31" s="94">
        <f>I32*92500*1.25*1.15/2000</f>
        <v>3.9469542260779962</v>
      </c>
      <c r="J31" s="94">
        <f>J32*92500*1.25*1.15/2000</f>
        <v>4.6852342941591818</v>
      </c>
      <c r="K31" s="94">
        <f>K32*92500*1.25*1.15/2000</f>
        <v>12.885184199227593</v>
      </c>
      <c r="L31" s="8"/>
      <c r="N31" s="91"/>
      <c r="O31" s="23"/>
      <c r="P31" s="25"/>
      <c r="Q31" s="13"/>
      <c r="R31" s="39"/>
      <c r="S31" s="13"/>
      <c r="T31" s="97"/>
      <c r="U31" s="13"/>
      <c r="V31" s="13"/>
      <c r="W31" s="13"/>
      <c r="X31" s="13"/>
      <c r="Y31" s="13"/>
      <c r="Z31" s="13"/>
      <c r="AA31" s="13"/>
      <c r="AB31" s="13"/>
      <c r="AC31" s="13"/>
    </row>
    <row r="32" spans="2:29" ht="17.25" customHeight="1" x14ac:dyDescent="0.25">
      <c r="B32" s="79" t="s">
        <v>11</v>
      </c>
      <c r="C32" s="8">
        <f>D32+J32</f>
        <v>0.39046256360544263</v>
      </c>
      <c r="D32" s="100">
        <f>D29/D26</f>
        <v>0.31999135448060417</v>
      </c>
      <c r="E32" s="100">
        <f>E29/E26</f>
        <v>9.8912743961587044E-2</v>
      </c>
      <c r="F32" s="100">
        <f>F29/F26</f>
        <v>0.30184622451268506</v>
      </c>
      <c r="G32" s="8">
        <f>SUM(E32:F32)</f>
        <v>0.40075896847427211</v>
      </c>
      <c r="H32" s="100">
        <f>H29/H26</f>
        <v>0.62042186348300021</v>
      </c>
      <c r="I32" s="100">
        <f>I29/I26</f>
        <v>5.9366644058517458E-2</v>
      </c>
      <c r="J32" s="100">
        <f>J29/J26</f>
        <v>7.0471209124838466E-2</v>
      </c>
      <c r="K32" s="100">
        <f>K29/K26</f>
        <v>0.19380770593432811</v>
      </c>
      <c r="L32" s="8">
        <f>SUM(C32+G32+H32+I32+K32)</f>
        <v>1.6648177455555604</v>
      </c>
      <c r="M32" s="101"/>
      <c r="N32" s="28">
        <f>L32*N$16</f>
        <v>2.0810221819444505</v>
      </c>
      <c r="O32" s="23"/>
      <c r="P32" s="25">
        <f>N32*P$16/2000</f>
        <v>96.247275914930839</v>
      </c>
      <c r="Q32" s="13"/>
      <c r="R32" s="39">
        <v>100</v>
      </c>
      <c r="S32" s="13"/>
      <c r="T32" s="97"/>
      <c r="U32" s="13"/>
      <c r="V32" s="13"/>
      <c r="W32" s="13"/>
      <c r="X32" s="13"/>
      <c r="Y32" s="13"/>
      <c r="Z32" s="13"/>
      <c r="AA32" s="13"/>
      <c r="AB32" s="13"/>
      <c r="AC32" s="13"/>
    </row>
    <row r="33" spans="2:29" ht="17.25" customHeight="1" x14ac:dyDescent="0.25">
      <c r="B33" s="81" t="s">
        <v>63</v>
      </c>
      <c r="C33" s="102">
        <f>C32*1.25*1.15</f>
        <v>0.56128993518282377</v>
      </c>
      <c r="D33" s="102">
        <f t="shared" ref="D33:K33" si="4">D32*1.25*1.15</f>
        <v>0.45998757206586843</v>
      </c>
      <c r="E33" s="102">
        <f t="shared" si="4"/>
        <v>0.14218706944478138</v>
      </c>
      <c r="F33" s="102">
        <f t="shared" si="4"/>
        <v>0.43390394773698476</v>
      </c>
      <c r="G33" s="102">
        <f t="shared" si="4"/>
        <v>0.57609101718176614</v>
      </c>
      <c r="H33" s="102">
        <f t="shared" si="4"/>
        <v>0.8918564287568127</v>
      </c>
      <c r="I33" s="102">
        <f t="shared" si="4"/>
        <v>8.5339550834118844E-2</v>
      </c>
      <c r="J33" s="102">
        <f t="shared" si="4"/>
        <v>0.10130236311695529</v>
      </c>
      <c r="K33" s="102">
        <f t="shared" si="4"/>
        <v>0.27859857728059667</v>
      </c>
      <c r="L33" s="103"/>
      <c r="M33" s="35"/>
      <c r="N33" s="34"/>
      <c r="O33" s="34"/>
      <c r="P33" s="34"/>
      <c r="Q33" s="34"/>
      <c r="R33" s="88"/>
      <c r="S33" s="13"/>
      <c r="T33" s="17"/>
      <c r="U33" s="13"/>
      <c r="V33" s="13"/>
      <c r="W33" s="13"/>
      <c r="X33" s="13"/>
      <c r="Y33" s="13"/>
      <c r="Z33" s="13"/>
      <c r="AA33" s="13"/>
      <c r="AB33" s="13"/>
      <c r="AC33" s="13"/>
    </row>
    <row r="34" spans="2:29" ht="15.75" x14ac:dyDescent="0.25">
      <c r="B34" s="78" t="s">
        <v>25</v>
      </c>
      <c r="C34" s="105"/>
      <c r="D34" s="92"/>
      <c r="E34" s="92"/>
      <c r="F34" s="92"/>
      <c r="G34" s="92"/>
      <c r="H34" s="92"/>
      <c r="I34" s="92"/>
      <c r="J34" s="92"/>
      <c r="K34" s="92"/>
      <c r="L34" s="19"/>
      <c r="N34" s="28"/>
      <c r="O34" s="23"/>
      <c r="P34" s="25"/>
      <c r="Q34" s="13"/>
      <c r="R34" s="39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2:29" ht="15.75" x14ac:dyDescent="0.25">
      <c r="B35" s="79" t="s">
        <v>12</v>
      </c>
      <c r="C35" s="106"/>
      <c r="D35" s="93">
        <v>0.1</v>
      </c>
      <c r="E35" s="93">
        <v>20.7</v>
      </c>
      <c r="F35" s="93">
        <v>16.2</v>
      </c>
      <c r="G35" s="93"/>
      <c r="H35" s="93">
        <v>11.6</v>
      </c>
      <c r="I35" s="93">
        <v>0.5</v>
      </c>
      <c r="J35" s="93">
        <v>0.3</v>
      </c>
      <c r="K35" s="93">
        <v>0.8</v>
      </c>
      <c r="L35" s="3"/>
      <c r="N35" s="28"/>
      <c r="O35" s="23"/>
      <c r="P35" s="25"/>
      <c r="Q35" s="13"/>
      <c r="R35" s="39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29" ht="15.75" x14ac:dyDescent="0.25">
      <c r="B36" s="80" t="s">
        <v>58</v>
      </c>
      <c r="C36" s="8">
        <f>D36+J36</f>
        <v>0.12474000015572281</v>
      </c>
      <c r="D36" s="8">
        <f t="shared" ref="D36:K36" si="5">D35*D18*60*46.01/385300000</f>
        <v>4.7248317415001295E-2</v>
      </c>
      <c r="E36" s="8">
        <f t="shared" si="5"/>
        <v>1.6572326734492602</v>
      </c>
      <c r="F36" s="8">
        <f t="shared" si="5"/>
        <v>3.5744876437062025</v>
      </c>
      <c r="G36" s="8">
        <f>SUM(E36:F36)</f>
        <v>5.2317203171554629</v>
      </c>
      <c r="H36" s="8">
        <f t="shared" si="5"/>
        <v>6.5019989792888655</v>
      </c>
      <c r="I36" s="8">
        <f t="shared" si="5"/>
        <v>7.2780105891513097E-2</v>
      </c>
      <c r="J36" s="8">
        <f t="shared" si="5"/>
        <v>7.7491682740721518E-2</v>
      </c>
      <c r="K36" s="8">
        <f t="shared" si="5"/>
        <v>0.34820960290682584</v>
      </c>
      <c r="L36" s="8">
        <f>SUM(C36+G36+H36+I36+K36)</f>
        <v>12.279449005398389</v>
      </c>
      <c r="M36" s="11"/>
      <c r="N36" s="91">
        <f>L36*N$16</f>
        <v>15.349311256747987</v>
      </c>
      <c r="O36" s="24"/>
      <c r="P36" s="25"/>
      <c r="Q36" s="13"/>
      <c r="R36" s="39"/>
      <c r="S36" s="15"/>
      <c r="T36" s="15"/>
      <c r="U36" s="13"/>
      <c r="V36" s="13"/>
      <c r="W36" s="13"/>
      <c r="X36" s="16"/>
      <c r="Y36" s="16"/>
      <c r="Z36" s="13"/>
      <c r="AA36" s="13"/>
      <c r="AB36" s="13"/>
      <c r="AC36" s="13"/>
    </row>
    <row r="37" spans="2:29" ht="15.75" x14ac:dyDescent="0.25">
      <c r="B37" s="80" t="s">
        <v>59</v>
      </c>
      <c r="C37" s="8">
        <f t="shared" ref="C37:C38" si="6">D37+J37</f>
        <v>0.17931375022385154</v>
      </c>
      <c r="D37" s="8">
        <f t="shared" ref="D37:K37" si="7">D36*1.25*1.15</f>
        <v>6.7919456284064358E-2</v>
      </c>
      <c r="E37" s="8">
        <f t="shared" si="7"/>
        <v>2.3822719680833115</v>
      </c>
      <c r="F37" s="8">
        <f t="shared" si="7"/>
        <v>5.1383259878276659</v>
      </c>
      <c r="G37" s="8">
        <f t="shared" ref="G37:G38" si="8">SUM(E37:F37)</f>
        <v>7.5205979559109775</v>
      </c>
      <c r="H37" s="8">
        <f t="shared" si="7"/>
        <v>9.346623532727742</v>
      </c>
      <c r="I37" s="8">
        <f t="shared" si="7"/>
        <v>0.10462140221905006</v>
      </c>
      <c r="J37" s="8">
        <f t="shared" si="7"/>
        <v>0.11139429393978717</v>
      </c>
      <c r="K37" s="8">
        <f t="shared" si="7"/>
        <v>0.50055130417856208</v>
      </c>
      <c r="L37" s="8"/>
      <c r="M37" s="11"/>
      <c r="N37" s="91"/>
      <c r="O37" s="24"/>
      <c r="P37" s="25"/>
      <c r="Q37" s="13"/>
      <c r="R37" s="39"/>
      <c r="S37" s="15"/>
      <c r="T37" s="15"/>
      <c r="U37" s="13"/>
      <c r="V37" s="13"/>
      <c r="W37" s="13"/>
      <c r="X37" s="16"/>
      <c r="Y37" s="16"/>
      <c r="Z37" s="13"/>
      <c r="AA37" s="13"/>
      <c r="AB37" s="13"/>
      <c r="AC37" s="13"/>
    </row>
    <row r="38" spans="2:29" ht="15.75" x14ac:dyDescent="0.25">
      <c r="B38" s="80" t="s">
        <v>60</v>
      </c>
      <c r="C38" s="8">
        <f t="shared" si="6"/>
        <v>0.52290425166477184</v>
      </c>
      <c r="D38" s="94">
        <f>D39*92500*1.25*1.15/2000</f>
        <v>0.19307159515291802</v>
      </c>
      <c r="E38" s="94">
        <f>E39*92500*1.25*1.15/2000</f>
        <v>7.0537822358420712</v>
      </c>
      <c r="F38" s="94">
        <f>F39*92500*1.25*1.15/2000</f>
        <v>15.214313504291264</v>
      </c>
      <c r="G38" s="8">
        <f t="shared" si="8"/>
        <v>22.268095740133333</v>
      </c>
      <c r="H38" s="94">
        <f>H39*92500*1.25*1.15/2000</f>
        <v>27.674861612590149</v>
      </c>
      <c r="I38" s="94">
        <f>I39*92500*1.25*1.15/2000</f>
        <v>0.29740257238052031</v>
      </c>
      <c r="J38" s="94">
        <f>J39*92500*1.25*1.15/2000</f>
        <v>0.32983265651185384</v>
      </c>
      <c r="K38" s="94">
        <f>K39*92500*1.25*1.15/2000</f>
        <v>1.4228947644903811</v>
      </c>
      <c r="L38" s="8"/>
      <c r="M38" s="11"/>
      <c r="N38" s="91"/>
      <c r="O38" s="24"/>
      <c r="P38" s="25"/>
      <c r="Q38" s="13"/>
      <c r="R38" s="39"/>
      <c r="S38" s="15"/>
      <c r="T38" s="15"/>
      <c r="U38" s="13"/>
      <c r="V38" s="13"/>
      <c r="W38" s="13"/>
      <c r="X38" s="16"/>
      <c r="Y38" s="16"/>
      <c r="Z38" s="13"/>
      <c r="AA38" s="13"/>
      <c r="AB38" s="13"/>
      <c r="AC38" s="13"/>
    </row>
    <row r="39" spans="2:29" ht="15.75" x14ac:dyDescent="0.25">
      <c r="B39" s="79" t="s">
        <v>11</v>
      </c>
      <c r="C39" s="8">
        <f>D39+J39</f>
        <v>7.8650698252750659E-3</v>
      </c>
      <c r="D39" s="100">
        <f>D36/D26</f>
        <v>2.9040145921943022E-3</v>
      </c>
      <c r="E39" s="100">
        <f>E36/E26</f>
        <v>0.10609684209022152</v>
      </c>
      <c r="F39" s="100">
        <f>F36/F26</f>
        <v>0.22884043813740093</v>
      </c>
      <c r="G39" s="8">
        <f>SUM(E39:F39)</f>
        <v>0.33493728022762248</v>
      </c>
      <c r="H39" s="100">
        <f>H36/H26</f>
        <v>0.41626113823872379</v>
      </c>
      <c r="I39" s="100">
        <f>I36/I26</f>
        <v>4.4732701838668164E-3</v>
      </c>
      <c r="J39" s="100">
        <f>J36/J26</f>
        <v>4.9610552330807628E-3</v>
      </c>
      <c r="K39" s="100">
        <f>K36/K26</f>
        <v>2.1401942403615603E-2</v>
      </c>
      <c r="L39" s="8">
        <f>SUM(C39+G39+H39+I39+K39)</f>
        <v>0.78493870087910378</v>
      </c>
      <c r="M39" s="101"/>
      <c r="N39" s="28">
        <f>L39*N$16</f>
        <v>0.98117337609887967</v>
      </c>
      <c r="O39" s="23"/>
      <c r="P39" s="25">
        <f>N39*P$16/2000</f>
        <v>45.37926864457318</v>
      </c>
      <c r="Q39" s="13"/>
      <c r="R39" s="39">
        <v>100</v>
      </c>
      <c r="S39" s="15"/>
      <c r="T39" s="15"/>
      <c r="U39" s="13"/>
      <c r="V39" s="13"/>
      <c r="W39" s="13"/>
      <c r="X39" s="16"/>
      <c r="Y39" s="16"/>
      <c r="Z39" s="13"/>
      <c r="AA39" s="13"/>
      <c r="AB39" s="13"/>
      <c r="AC39" s="13"/>
    </row>
    <row r="40" spans="2:29" ht="15.75" x14ac:dyDescent="0.25">
      <c r="B40" s="81" t="s">
        <v>63</v>
      </c>
      <c r="C40" s="102">
        <f>C39*1.25*1.15</f>
        <v>1.1306037873832907E-2</v>
      </c>
      <c r="D40" s="102">
        <f t="shared" ref="D40" si="9">D39*1.25*1.15</f>
        <v>4.1745209762793093E-3</v>
      </c>
      <c r="E40" s="102">
        <f t="shared" ref="E40" si="10">E39*1.25*1.15</f>
        <v>0.15251421050469344</v>
      </c>
      <c r="F40" s="102">
        <f t="shared" ref="F40" si="11">F39*1.25*1.15</f>
        <v>0.32895812982251377</v>
      </c>
      <c r="G40" s="102">
        <f t="shared" ref="G40" si="12">G39*1.25*1.15</f>
        <v>0.48147234032720726</v>
      </c>
      <c r="H40" s="102">
        <f t="shared" ref="H40" si="13">H39*1.25*1.15</f>
        <v>0.59837538621816544</v>
      </c>
      <c r="I40" s="102">
        <f t="shared" ref="I40" si="14">I39*1.25*1.15</f>
        <v>6.4303258893085476E-3</v>
      </c>
      <c r="J40" s="102">
        <f t="shared" ref="J40" si="15">J39*1.25*1.15</f>
        <v>7.1315168975535958E-3</v>
      </c>
      <c r="K40" s="102">
        <f t="shared" ref="K40" si="16">K39*1.25*1.15</f>
        <v>3.0765292205197428E-2</v>
      </c>
      <c r="L40" s="104"/>
      <c r="M40" s="35"/>
      <c r="N40" s="34"/>
      <c r="O40" s="34"/>
      <c r="P40" s="34"/>
      <c r="Q40" s="34"/>
      <c r="R40" s="88"/>
      <c r="S40" s="15"/>
      <c r="T40" s="15"/>
      <c r="U40" s="13"/>
      <c r="V40" s="13"/>
      <c r="W40" s="13"/>
      <c r="X40" s="16"/>
      <c r="Y40" s="16"/>
      <c r="Z40" s="13"/>
      <c r="AA40" s="13"/>
      <c r="AB40" s="13"/>
      <c r="AC40" s="13"/>
    </row>
    <row r="41" spans="2:29" ht="15.75" x14ac:dyDescent="0.25">
      <c r="B41" s="78" t="s">
        <v>13</v>
      </c>
      <c r="C41" s="105"/>
      <c r="D41" s="92"/>
      <c r="E41" s="92"/>
      <c r="F41" s="92"/>
      <c r="G41" s="92"/>
      <c r="H41" s="92"/>
      <c r="I41" s="92"/>
      <c r="J41" s="92"/>
      <c r="K41" s="92"/>
      <c r="L41" s="19"/>
      <c r="M41" s="13"/>
      <c r="N41" s="28"/>
      <c r="O41" s="23"/>
      <c r="P41" s="25"/>
      <c r="Q41" s="13"/>
      <c r="R41" s="39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2:29" ht="15.75" x14ac:dyDescent="0.25">
      <c r="B42" s="79" t="s">
        <v>12</v>
      </c>
      <c r="C42" s="106"/>
      <c r="D42" s="93">
        <v>5.7</v>
      </c>
      <c r="E42" s="93">
        <v>3.4</v>
      </c>
      <c r="F42" s="93">
        <v>2.8</v>
      </c>
      <c r="G42" s="93"/>
      <c r="H42" s="93">
        <v>3.7</v>
      </c>
      <c r="I42" s="93">
        <v>2.5</v>
      </c>
      <c r="J42" s="93">
        <v>4</v>
      </c>
      <c r="K42" s="93">
        <v>1.6</v>
      </c>
      <c r="L42" s="3"/>
      <c r="M42" s="13"/>
      <c r="N42" s="28"/>
      <c r="O42" s="23"/>
      <c r="P42" s="25"/>
      <c r="Q42" s="13"/>
      <c r="R42" s="39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2:29" ht="15.75" x14ac:dyDescent="0.25">
      <c r="B43" s="80" t="s">
        <v>58</v>
      </c>
      <c r="C43" s="8">
        <f>D43+J43</f>
        <v>3.6251383057357902</v>
      </c>
      <c r="D43" s="8">
        <f t="shared" ref="D43:K43" si="17">D42*D18*60*44.76/385300000</f>
        <v>2.6199864635349077</v>
      </c>
      <c r="E43" s="8">
        <f t="shared" si="17"/>
        <v>0.26480726955618994</v>
      </c>
      <c r="F43" s="8">
        <f t="shared" si="17"/>
        <v>0.60102793999480908</v>
      </c>
      <c r="G43" s="8">
        <f>SUM(E43:F43)</f>
        <v>0.86583520955099902</v>
      </c>
      <c r="H43" s="8">
        <f t="shared" si="17"/>
        <v>2.0175693720218013</v>
      </c>
      <c r="I43" s="8">
        <f t="shared" si="17"/>
        <v>0.35401407734233065</v>
      </c>
      <c r="J43" s="8">
        <f t="shared" si="17"/>
        <v>1.0051518422008825</v>
      </c>
      <c r="K43" s="8">
        <f t="shared" si="17"/>
        <v>0.67749888398650404</v>
      </c>
      <c r="L43" s="8">
        <f>SUM(C43+G43+H43+I43+K43)</f>
        <v>7.5400558486374267</v>
      </c>
      <c r="M43" s="13"/>
      <c r="N43" s="91">
        <f>L43*N$16</f>
        <v>9.4250698107967832</v>
      </c>
      <c r="O43" s="23"/>
      <c r="P43" s="25"/>
      <c r="Q43" s="13"/>
      <c r="R43" s="3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2:29" ht="15.75" x14ac:dyDescent="0.25">
      <c r="B44" s="80" t="s">
        <v>59</v>
      </c>
      <c r="C44" s="8">
        <f t="shared" ref="C44:C46" si="18">D44+J44</f>
        <v>5.2111363144951977</v>
      </c>
      <c r="D44" s="8">
        <f t="shared" ref="D44:K44" si="19">D43*1.25*1.15</f>
        <v>3.7662305413314292</v>
      </c>
      <c r="E44" s="8">
        <f t="shared" si="19"/>
        <v>0.38066044998702303</v>
      </c>
      <c r="F44" s="8">
        <f t="shared" si="19"/>
        <v>0.86397766374253804</v>
      </c>
      <c r="G44" s="8">
        <f t="shared" ref="G44:G46" si="20">SUM(E44:F44)</f>
        <v>1.244638113729561</v>
      </c>
      <c r="H44" s="8">
        <f t="shared" si="19"/>
        <v>2.9002559722813395</v>
      </c>
      <c r="I44" s="8">
        <f t="shared" si="19"/>
        <v>0.5088952361796002</v>
      </c>
      <c r="J44" s="8">
        <f t="shared" si="19"/>
        <v>1.4449057731637687</v>
      </c>
      <c r="K44" s="8">
        <f t="shared" si="19"/>
        <v>0.97390464573059943</v>
      </c>
      <c r="L44" s="8"/>
      <c r="M44" s="13"/>
      <c r="N44" s="91"/>
      <c r="O44" s="23"/>
      <c r="P44" s="25"/>
      <c r="Q44" s="13"/>
      <c r="R44" s="39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2:29" ht="15.75" x14ac:dyDescent="0.25">
      <c r="B45" s="80" t="s">
        <v>60</v>
      </c>
      <c r="C45" s="8">
        <f t="shared" si="18"/>
        <v>14.984384950050364</v>
      </c>
      <c r="D45" s="94">
        <f>D46*92500*1.25*1.15/2000</f>
        <v>10.706094808640358</v>
      </c>
      <c r="E45" s="94">
        <f t="shared" ref="E45" si="21">E46*92500*1.25*1.15/2000</f>
        <v>1.127115608956454</v>
      </c>
      <c r="F45" s="94">
        <f t="shared" ref="F45" si="22">F46*92500*1.25*1.15/2000</f>
        <v>2.558192506279922</v>
      </c>
      <c r="G45" s="8">
        <f t="shared" si="20"/>
        <v>3.685308115236376</v>
      </c>
      <c r="H45" s="94">
        <f t="shared" ref="H45" si="23">H46*92500*1.25*1.15/2000</f>
        <v>8.5875056797702918</v>
      </c>
      <c r="I45" s="94">
        <f t="shared" ref="I45" si="24">I46*92500*1.25*1.15/2000</f>
        <v>1.446613686128243</v>
      </c>
      <c r="J45" s="94">
        <f t="shared" ref="J45" si="25">J46*92500*1.25*1.15/2000</f>
        <v>4.2782901414100056</v>
      </c>
      <c r="K45" s="94">
        <f t="shared" ref="K45" si="26">K46*92500*1.25*1.15/2000</f>
        <v>2.7684750992649181</v>
      </c>
      <c r="L45" s="8"/>
      <c r="M45" s="13"/>
      <c r="N45" s="91"/>
      <c r="O45" s="23"/>
      <c r="P45" s="25"/>
      <c r="Q45" s="13"/>
      <c r="R45" s="39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2:29" ht="15.75" x14ac:dyDescent="0.25">
      <c r="B46" s="81" t="s">
        <v>11</v>
      </c>
      <c r="C46" s="8">
        <f t="shared" si="18"/>
        <v>0.22538205330275521</v>
      </c>
      <c r="D46" s="6">
        <f>D43/D26</f>
        <v>0.1610317433026987</v>
      </c>
      <c r="E46" s="6">
        <f t="shared" ref="E46:K46" si="27">E43/E26</f>
        <v>1.6953090240473107E-2</v>
      </c>
      <c r="F46" s="6">
        <f t="shared" si="27"/>
        <v>3.8478101152036433E-2</v>
      </c>
      <c r="G46" s="8">
        <f t="shared" si="20"/>
        <v>5.5431191392509543E-2</v>
      </c>
      <c r="H46" s="6">
        <f t="shared" si="27"/>
        <v>0.12916577285670944</v>
      </c>
      <c r="I46" s="6">
        <f t="shared" si="27"/>
        <v>2.1758701741999426E-2</v>
      </c>
      <c r="J46" s="6">
        <f t="shared" si="27"/>
        <v>6.4350310000056504E-2</v>
      </c>
      <c r="K46" s="6">
        <f t="shared" si="27"/>
        <v>4.1640988567086909E-2</v>
      </c>
      <c r="L46" s="8">
        <f>SUM(C46+G46+H46+I46+K46)</f>
        <v>0.47337870786106057</v>
      </c>
      <c r="M46" s="13"/>
      <c r="N46" s="28">
        <f>L46*N$16</f>
        <v>0.59172338482632569</v>
      </c>
      <c r="O46" s="23"/>
      <c r="P46" s="25">
        <f>N46*P$16/2000</f>
        <v>27.367206548217563</v>
      </c>
      <c r="Q46" s="13"/>
      <c r="R46" s="39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2:29" ht="15.75" x14ac:dyDescent="0.25">
      <c r="B47" s="78" t="s">
        <v>27</v>
      </c>
      <c r="C47" s="105"/>
      <c r="D47" s="5"/>
      <c r="E47" s="5"/>
      <c r="F47" s="5"/>
      <c r="G47" s="5"/>
      <c r="H47" s="19"/>
      <c r="I47" s="5"/>
      <c r="J47" s="5"/>
      <c r="K47" s="19"/>
      <c r="L47" s="19"/>
      <c r="M47" s="13"/>
      <c r="N47" s="29"/>
      <c r="O47" s="14"/>
      <c r="P47" s="26"/>
      <c r="Q47" s="13"/>
      <c r="R47" s="41"/>
      <c r="S47" s="22"/>
      <c r="T47" s="22"/>
      <c r="U47" s="13"/>
      <c r="V47" s="13"/>
      <c r="W47" s="13"/>
      <c r="X47" s="13"/>
      <c r="Y47" s="13"/>
      <c r="Z47" s="13"/>
      <c r="AA47" s="13"/>
      <c r="AB47" s="13"/>
      <c r="AC47" s="13"/>
    </row>
    <row r="48" spans="2:29" ht="15.75" x14ac:dyDescent="0.25">
      <c r="B48" s="79" t="s">
        <v>12</v>
      </c>
      <c r="C48" s="106"/>
      <c r="D48" s="90">
        <v>3.1</v>
      </c>
      <c r="E48" s="90">
        <v>1</v>
      </c>
      <c r="F48" s="90">
        <v>0</v>
      </c>
      <c r="G48" s="90"/>
      <c r="H48" s="93">
        <v>1.04</v>
      </c>
      <c r="I48" s="90">
        <v>0</v>
      </c>
      <c r="J48" s="90">
        <v>0.8</v>
      </c>
      <c r="K48" s="90">
        <v>0</v>
      </c>
      <c r="L48" s="3"/>
      <c r="M48" s="13"/>
      <c r="N48" s="30"/>
      <c r="O48" s="10"/>
      <c r="P48" s="27"/>
      <c r="Q48" s="13"/>
      <c r="R48" s="42"/>
      <c r="S48" s="10"/>
      <c r="T48" s="10"/>
      <c r="U48" s="13"/>
      <c r="V48" s="10"/>
      <c r="W48" s="13"/>
      <c r="X48" s="10"/>
      <c r="Y48" s="10"/>
      <c r="Z48" s="13"/>
      <c r="AA48" s="13"/>
      <c r="AB48" s="13"/>
      <c r="AC48" s="13"/>
    </row>
    <row r="49" spans="2:29" ht="15.75" x14ac:dyDescent="0.25">
      <c r="B49" s="80" t="s">
        <v>58</v>
      </c>
      <c r="C49" s="8">
        <f>D49+J49</f>
        <v>1.6259352872047752</v>
      </c>
      <c r="D49" s="8">
        <f>D48*D18*60*44.76/385300000</f>
        <v>1.4249049187645988</v>
      </c>
      <c r="E49" s="8">
        <f>E48*E18*60*44.76/385300000</f>
        <v>7.7884491045938226E-2</v>
      </c>
      <c r="F49" s="8">
        <f t="shared" ref="F49:K49" si="28">F48*F18*60*44.76/385300000</f>
        <v>0</v>
      </c>
      <c r="G49" s="8">
        <f>SUM(E49:F49)</f>
        <v>7.7884491045938226E-2</v>
      </c>
      <c r="H49" s="8">
        <f t="shared" si="28"/>
        <v>0.5671005802439657</v>
      </c>
      <c r="I49" s="8">
        <f t="shared" si="28"/>
        <v>0</v>
      </c>
      <c r="J49" s="8">
        <f t="shared" si="28"/>
        <v>0.20103036844017652</v>
      </c>
      <c r="K49" s="8">
        <f t="shared" si="28"/>
        <v>0</v>
      </c>
      <c r="L49" s="8">
        <f>SUM(C49+G49+H49+I49+K49)</f>
        <v>2.2709203584946791</v>
      </c>
      <c r="M49" s="13"/>
      <c r="N49" s="91">
        <f>L49*N$16</f>
        <v>2.838650448118349</v>
      </c>
      <c r="O49" s="23"/>
      <c r="P49" s="25"/>
      <c r="Q49" s="13"/>
      <c r="R49" s="39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2:29" ht="15.75" x14ac:dyDescent="0.25">
      <c r="B50" s="80" t="s">
        <v>59</v>
      </c>
      <c r="C50" s="8">
        <f t="shared" ref="C50:C52" si="29">D50+J50</f>
        <v>2.3372819753568645</v>
      </c>
      <c r="D50" s="8">
        <f t="shared" ref="D50:K50" si="30">D49*1.25*1.15</f>
        <v>2.0483008207241107</v>
      </c>
      <c r="E50" s="8">
        <f t="shared" si="30"/>
        <v>0.11195895587853619</v>
      </c>
      <c r="F50" s="8">
        <f t="shared" si="30"/>
        <v>0</v>
      </c>
      <c r="G50" s="8">
        <f t="shared" ref="G50:G52" si="31">SUM(E50:F50)</f>
        <v>0.11195895587853619</v>
      </c>
      <c r="H50" s="8">
        <f t="shared" si="30"/>
        <v>0.81520708410070064</v>
      </c>
      <c r="I50" s="8">
        <f t="shared" si="30"/>
        <v>0</v>
      </c>
      <c r="J50" s="8">
        <f t="shared" si="30"/>
        <v>0.2889811546327537</v>
      </c>
      <c r="K50" s="8">
        <f t="shared" si="30"/>
        <v>0</v>
      </c>
      <c r="L50" s="8"/>
      <c r="M50" s="13"/>
      <c r="N50" s="91"/>
      <c r="O50" s="23"/>
      <c r="P50" s="25"/>
      <c r="Q50" s="13"/>
      <c r="R50" s="39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2:29" ht="15.75" x14ac:dyDescent="0.25">
      <c r="B51" s="80" t="s">
        <v>60</v>
      </c>
      <c r="C51" s="8">
        <f t="shared" si="29"/>
        <v>6.6782709943846523</v>
      </c>
      <c r="D51" s="94">
        <f>D52*92500*1.25*1.15/2000</f>
        <v>5.8226129661026507</v>
      </c>
      <c r="E51" s="94">
        <f t="shared" ref="E51" si="32">E52*92500*1.25*1.15/2000</f>
        <v>0.33150459086954537</v>
      </c>
      <c r="F51" s="94">
        <f t="shared" ref="F51" si="33">F52*92500*1.25*1.15/2000</f>
        <v>0</v>
      </c>
      <c r="G51" s="8">
        <f t="shared" si="31"/>
        <v>0.33150459086954537</v>
      </c>
      <c r="H51" s="94">
        <f t="shared" ref="H51" si="34">H52*92500*1.25*1.15/2000</f>
        <v>2.4137853802597569</v>
      </c>
      <c r="I51" s="94">
        <f t="shared" ref="I51" si="35">I52*92500*1.25*1.15/2000</f>
        <v>0</v>
      </c>
      <c r="J51" s="94">
        <f t="shared" ref="J51" si="36">J52*92500*1.25*1.15/2000</f>
        <v>0.85565802828200133</v>
      </c>
      <c r="K51" s="94">
        <f t="shared" ref="K51" si="37">K52*92500*1.25*1.15/2000</f>
        <v>0</v>
      </c>
      <c r="L51" s="8"/>
      <c r="M51" s="13"/>
      <c r="N51" s="91"/>
      <c r="O51" s="23"/>
      <c r="P51" s="25"/>
      <c r="Q51" s="13"/>
      <c r="R51" s="3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2:29" ht="15.75" x14ac:dyDescent="0.25">
      <c r="B52" s="81" t="s">
        <v>11</v>
      </c>
      <c r="C52" s="8">
        <f t="shared" si="29"/>
        <v>0.10044872941025093</v>
      </c>
      <c r="D52" s="6">
        <f>D49/D26</f>
        <v>8.7578667410239633E-2</v>
      </c>
      <c r="E52" s="6">
        <f t="shared" ref="E52:K52" si="38">E49/E26</f>
        <v>4.9862030119038562E-3</v>
      </c>
      <c r="F52" s="6">
        <f t="shared" si="38"/>
        <v>0</v>
      </c>
      <c r="G52" s="8">
        <f t="shared" si="31"/>
        <v>4.9862030119038562E-3</v>
      </c>
      <c r="H52" s="6">
        <f t="shared" si="38"/>
        <v>3.6306055073237239E-2</v>
      </c>
      <c r="I52" s="6">
        <f t="shared" si="38"/>
        <v>0</v>
      </c>
      <c r="J52" s="6">
        <f t="shared" si="38"/>
        <v>1.2870062000011302E-2</v>
      </c>
      <c r="K52" s="6">
        <f t="shared" si="38"/>
        <v>0</v>
      </c>
      <c r="L52" s="8">
        <f>SUM(C52+G52+H52+I52+K52)</f>
        <v>0.14174098749539205</v>
      </c>
      <c r="M52" s="13"/>
      <c r="N52" s="28">
        <f>L52*N$16</f>
        <v>0.17717623436924007</v>
      </c>
      <c r="O52" s="23"/>
      <c r="P52" s="25">
        <f>N52*P$16/2000</f>
        <v>8.1944008395773533</v>
      </c>
      <c r="Q52" s="13"/>
      <c r="R52" s="39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2:29" ht="15.75" x14ac:dyDescent="0.25">
      <c r="B53" s="78" t="s">
        <v>28</v>
      </c>
      <c r="C53" s="105"/>
      <c r="D53" s="5"/>
      <c r="E53" s="5"/>
      <c r="F53" s="5"/>
      <c r="G53" s="5"/>
      <c r="H53" s="19"/>
      <c r="I53" s="5"/>
      <c r="J53" s="5"/>
      <c r="K53" s="19"/>
      <c r="L53" s="19"/>
      <c r="M53" s="13"/>
      <c r="N53" s="28"/>
      <c r="O53" s="23"/>
      <c r="P53" s="25"/>
      <c r="Q53" s="13"/>
      <c r="R53" s="3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2:29" ht="15.75" x14ac:dyDescent="0.25">
      <c r="B54" s="79" t="s">
        <v>12</v>
      </c>
      <c r="C54" s="106"/>
      <c r="D54" s="90">
        <v>3</v>
      </c>
      <c r="E54" s="90">
        <v>0.9</v>
      </c>
      <c r="F54" s="90">
        <v>0</v>
      </c>
      <c r="G54" s="90"/>
      <c r="H54" s="93">
        <v>1.01</v>
      </c>
      <c r="I54" s="90">
        <v>0</v>
      </c>
      <c r="J54" s="90">
        <v>0.8</v>
      </c>
      <c r="K54" s="90">
        <v>0</v>
      </c>
      <c r="L54" s="3"/>
      <c r="M54" s="13"/>
      <c r="N54" s="28"/>
      <c r="O54" s="23"/>
      <c r="P54" s="25"/>
      <c r="Q54" s="13"/>
      <c r="R54" s="39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2:29" ht="15.75" x14ac:dyDescent="0.25">
      <c r="B55" s="80" t="s">
        <v>58</v>
      </c>
      <c r="C55" s="8">
        <f>D55+J55</f>
        <v>1.5799706124059174</v>
      </c>
      <c r="D55" s="8">
        <f t="shared" ref="D55:K55" si="39">D54*D18*60*44.76/385300000</f>
        <v>1.378940243965741</v>
      </c>
      <c r="E55" s="8">
        <f t="shared" si="39"/>
        <v>7.0096041941344403E-2</v>
      </c>
      <c r="F55" s="8">
        <f t="shared" si="39"/>
        <v>0</v>
      </c>
      <c r="G55" s="8">
        <f>SUM(E55:F55)</f>
        <v>7.0096041941344403E-2</v>
      </c>
      <c r="H55" s="8">
        <f t="shared" si="39"/>
        <v>0.55074190966000514</v>
      </c>
      <c r="I55" s="8">
        <f t="shared" si="39"/>
        <v>0</v>
      </c>
      <c r="J55" s="8">
        <f t="shared" si="39"/>
        <v>0.20103036844017652</v>
      </c>
      <c r="K55" s="8">
        <f t="shared" si="39"/>
        <v>0</v>
      </c>
      <c r="L55" s="8">
        <f>SUM(C55+G55+H55+I55+K55)</f>
        <v>2.200808564007267</v>
      </c>
      <c r="M55" s="13"/>
      <c r="N55" s="91">
        <f>L55*N$16</f>
        <v>2.751010705009084</v>
      </c>
      <c r="O55" s="23"/>
      <c r="P55" s="25"/>
      <c r="Q55" s="13"/>
      <c r="R55" s="39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2:29" ht="15.75" x14ac:dyDescent="0.25">
      <c r="B56" s="80" t="s">
        <v>59</v>
      </c>
      <c r="C56" s="8">
        <f t="shared" ref="C56:C57" si="40">D56+J56</f>
        <v>2.2712077553335064</v>
      </c>
      <c r="D56" s="8">
        <f t="shared" ref="D56:K56" si="41">D55*1.25*1.15</f>
        <v>1.9822266007007525</v>
      </c>
      <c r="E56" s="8">
        <f t="shared" si="41"/>
        <v>0.10076306029068256</v>
      </c>
      <c r="F56" s="8">
        <f t="shared" si="41"/>
        <v>0</v>
      </c>
      <c r="G56" s="8">
        <f t="shared" ref="G56:G57" si="42">SUM(E56:F56)</f>
        <v>0.10076306029068256</v>
      </c>
      <c r="H56" s="8">
        <f t="shared" si="41"/>
        <v>0.79169149513625725</v>
      </c>
      <c r="I56" s="8">
        <f t="shared" si="41"/>
        <v>0</v>
      </c>
      <c r="J56" s="8">
        <f t="shared" si="41"/>
        <v>0.2889811546327537</v>
      </c>
      <c r="K56" s="8">
        <f t="shared" si="41"/>
        <v>0</v>
      </c>
      <c r="L56" s="8"/>
      <c r="M56" s="13"/>
      <c r="N56" s="91"/>
      <c r="O56" s="23"/>
      <c r="P56" s="25"/>
      <c r="Q56" s="13"/>
      <c r="R56" s="39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2:29" ht="15.75" x14ac:dyDescent="0.25">
      <c r="B57" s="80" t="s">
        <v>60</v>
      </c>
      <c r="C57" s="8">
        <f t="shared" si="40"/>
        <v>6.4904447696716643</v>
      </c>
      <c r="D57" s="94">
        <f>D58*92500*1.25*1.15/2000</f>
        <v>5.6347867413896626</v>
      </c>
      <c r="E57" s="94">
        <f>E58*92500*1.25*1.15/2000</f>
        <v>0.29835413178259085</v>
      </c>
      <c r="F57" s="94">
        <f>F58*92500*1.25*1.15/2000</f>
        <v>0</v>
      </c>
      <c r="G57" s="8">
        <f t="shared" si="42"/>
        <v>0.29835413178259085</v>
      </c>
      <c r="H57" s="94">
        <f>H58*92500*1.25*1.15/2000</f>
        <v>2.3441569558291873</v>
      </c>
      <c r="I57" s="94">
        <f>I58*92500*1.25*1.15/2000</f>
        <v>0</v>
      </c>
      <c r="J57" s="94">
        <f>J58*92500*1.25*1.15/2000</f>
        <v>0.85565802828200133</v>
      </c>
      <c r="K57" s="94">
        <f>K58*92500*1.25*1.15/2000</f>
        <v>0</v>
      </c>
      <c r="L57" s="8"/>
      <c r="M57" s="13"/>
      <c r="N57" s="91"/>
      <c r="O57" s="23"/>
      <c r="P57" s="25"/>
      <c r="Q57" s="13"/>
      <c r="R57" s="39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2:29" ht="15.75" x14ac:dyDescent="0.25">
      <c r="B58" s="79" t="s">
        <v>11</v>
      </c>
      <c r="C58" s="8">
        <f>D58+J58</f>
        <v>9.7623611106694833E-2</v>
      </c>
      <c r="D58" s="100">
        <f>D55/D26</f>
        <v>8.4753549106683534E-2</v>
      </c>
      <c r="E58" s="100">
        <f>E55/E26</f>
        <v>4.4875827107134702E-3</v>
      </c>
      <c r="F58" s="100">
        <f>F55/F26</f>
        <v>0</v>
      </c>
      <c r="G58" s="8">
        <f>SUM(E58:F58)</f>
        <v>4.4875827107134702E-3</v>
      </c>
      <c r="H58" s="100">
        <f>H55/H26</f>
        <v>3.5258765023047707E-2</v>
      </c>
      <c r="I58" s="100">
        <f>I55/I26</f>
        <v>0</v>
      </c>
      <c r="J58" s="100">
        <f>J55/J26</f>
        <v>1.2870062000011302E-2</v>
      </c>
      <c r="K58" s="100">
        <f>K55/K26</f>
        <v>0</v>
      </c>
      <c r="L58" s="8">
        <f>SUM(C58+G58+H58+I58+K58)</f>
        <v>0.137369958840456</v>
      </c>
      <c r="M58" s="101"/>
      <c r="N58" s="28">
        <f>L58*N$16</f>
        <v>0.17171244855057</v>
      </c>
      <c r="O58" s="23"/>
      <c r="P58" s="25">
        <f>N58*P$16/2000</f>
        <v>7.9417007454638622</v>
      </c>
      <c r="Q58" s="13"/>
      <c r="R58" s="39">
        <v>50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2:29" ht="16.5" thickBot="1" x14ac:dyDescent="0.3">
      <c r="B59" s="107" t="s">
        <v>63</v>
      </c>
      <c r="C59" s="108">
        <f>C58*1.25*1.15</f>
        <v>0.14033394096587382</v>
      </c>
      <c r="D59" s="108">
        <f t="shared" ref="D59" si="43">D58*1.25*1.15</f>
        <v>0.12183322684085757</v>
      </c>
      <c r="E59" s="108">
        <f t="shared" ref="E59" si="44">E58*1.25*1.15</f>
        <v>6.4509001466506134E-3</v>
      </c>
      <c r="F59" s="108">
        <f t="shared" ref="F59" si="45">F58*1.25*1.15</f>
        <v>0</v>
      </c>
      <c r="G59" s="108">
        <f t="shared" ref="G59" si="46">G58*1.25*1.15</f>
        <v>6.4509001466506134E-3</v>
      </c>
      <c r="H59" s="108">
        <f t="shared" ref="H59" si="47">H58*1.25*1.15</f>
        <v>5.0684474720631076E-2</v>
      </c>
      <c r="I59" s="108">
        <f t="shared" ref="I59" si="48">I58*1.25*1.15</f>
        <v>0</v>
      </c>
      <c r="J59" s="108">
        <f t="shared" ref="J59" si="49">J58*1.25*1.15</f>
        <v>1.8500714125016242E-2</v>
      </c>
      <c r="K59" s="108">
        <f t="shared" ref="K59" si="50">K58*1.25*1.15</f>
        <v>0</v>
      </c>
      <c r="L59" s="109"/>
      <c r="M59" s="110"/>
      <c r="N59" s="112"/>
      <c r="O59" s="112"/>
      <c r="P59" s="112"/>
      <c r="Q59" s="112"/>
      <c r="R59" s="111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2:29" ht="15.75" x14ac:dyDescent="0.25">
      <c r="B60" s="20" t="s">
        <v>29</v>
      </c>
      <c r="C60" s="20"/>
      <c r="D60" s="3"/>
      <c r="E60" s="3"/>
      <c r="F60" s="3"/>
      <c r="G60" s="3"/>
      <c r="H60" s="3"/>
      <c r="I60" s="3"/>
      <c r="J60" s="3"/>
      <c r="K60" s="3"/>
      <c r="L60" s="3"/>
      <c r="M60" s="13"/>
      <c r="N60" s="28"/>
      <c r="O60" s="23"/>
      <c r="P60" s="25"/>
      <c r="Q60" s="13"/>
      <c r="R60" s="39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2:29" ht="18.75" x14ac:dyDescent="0.25">
      <c r="B61" s="78" t="s">
        <v>32</v>
      </c>
      <c r="C61" s="78"/>
      <c r="D61" s="5"/>
      <c r="E61" s="5"/>
      <c r="F61" s="5"/>
      <c r="G61" s="5"/>
      <c r="H61" s="19"/>
      <c r="I61" s="5"/>
      <c r="J61" s="5"/>
      <c r="K61" s="19"/>
      <c r="L61" s="19"/>
      <c r="M61" s="13"/>
      <c r="N61" s="28"/>
      <c r="O61" s="23"/>
      <c r="P61" s="25"/>
      <c r="Q61" s="13"/>
      <c r="R61" s="39"/>
      <c r="S61" s="15"/>
      <c r="T61" s="15"/>
      <c r="U61" s="13"/>
      <c r="V61" s="13"/>
      <c r="W61" s="13"/>
      <c r="X61" s="16"/>
      <c r="Y61" s="16"/>
      <c r="Z61" s="13"/>
      <c r="AA61" s="13"/>
      <c r="AB61" s="13"/>
      <c r="AC61" s="13"/>
    </row>
    <row r="62" spans="2:29" ht="15.75" x14ac:dyDescent="0.25">
      <c r="B62" s="79" t="s">
        <v>12</v>
      </c>
      <c r="C62" s="79"/>
      <c r="D62" s="95">
        <v>0.107</v>
      </c>
      <c r="E62" s="95">
        <v>0.13300000000000001</v>
      </c>
      <c r="F62" s="95">
        <v>0.11700000000000001</v>
      </c>
      <c r="G62" s="95"/>
      <c r="H62" s="95">
        <v>0.111</v>
      </c>
      <c r="I62" s="95">
        <v>5.1999999999999998E-2</v>
      </c>
      <c r="J62" s="95">
        <v>7.9000000000000001E-2</v>
      </c>
      <c r="K62" s="95">
        <v>3.6999999999999998E-2</v>
      </c>
      <c r="L62" s="3"/>
      <c r="M62" s="13"/>
      <c r="N62" s="28"/>
      <c r="O62" s="23"/>
      <c r="P62" s="25"/>
      <c r="Q62" s="13"/>
      <c r="R62" s="39"/>
      <c r="S62" s="13"/>
      <c r="T62" s="13"/>
      <c r="U62" s="13"/>
      <c r="V62" s="13"/>
      <c r="W62" s="13"/>
      <c r="X62" s="17"/>
      <c r="Y62" s="17"/>
      <c r="Z62" s="13"/>
      <c r="AA62" s="13"/>
      <c r="AB62" s="13"/>
      <c r="AC62" s="13"/>
    </row>
    <row r="63" spans="2:29" ht="15.75" x14ac:dyDescent="0.25">
      <c r="B63" s="80" t="s">
        <v>58</v>
      </c>
      <c r="C63" s="8">
        <f>D63+J63</f>
        <v>0.12264495813728012</v>
      </c>
      <c r="D63" s="8">
        <f>D62*D$18*60*78.11/((1-D20/100)*385300000)</f>
        <v>8.7222680877428418E-2</v>
      </c>
      <c r="E63" s="8">
        <f t="shared" ref="E63:K63" si="51">E62*E$18*60*78.11/((1-E20/100)*385300000)</f>
        <v>1.8314793843978997E-2</v>
      </c>
      <c r="F63" s="8">
        <f t="shared" si="51"/>
        <v>4.4180169702284777E-2</v>
      </c>
      <c r="G63" s="8">
        <f>SUM(E63:F63)</f>
        <v>6.2494963546263771E-2</v>
      </c>
      <c r="H63" s="8">
        <f t="shared" si="51"/>
        <v>0.10712464016922089</v>
      </c>
      <c r="I63" s="8">
        <f t="shared" si="51"/>
        <v>1.29928413461652E-2</v>
      </c>
      <c r="J63" s="8">
        <f t="shared" si="51"/>
        <v>3.5422277259851698E-2</v>
      </c>
      <c r="K63" s="8">
        <f t="shared" si="51"/>
        <v>2.7616694193426612E-2</v>
      </c>
      <c r="L63" s="8">
        <f>SUM(C63+G63+H63+I63+K63)</f>
        <v>0.33287409739235657</v>
      </c>
      <c r="M63" s="13"/>
      <c r="N63" s="91">
        <f>L63*N$16</f>
        <v>0.4160926217404457</v>
      </c>
      <c r="O63" s="23"/>
      <c r="P63" s="25"/>
      <c r="Q63" s="13"/>
      <c r="R63" s="39"/>
      <c r="S63" s="13"/>
      <c r="T63" s="13"/>
      <c r="U63" s="13"/>
      <c r="V63" s="13"/>
      <c r="W63" s="13"/>
      <c r="X63" s="17"/>
      <c r="Y63" s="17"/>
      <c r="Z63" s="13"/>
      <c r="AA63" s="13"/>
      <c r="AB63" s="13"/>
      <c r="AC63" s="13"/>
    </row>
    <row r="64" spans="2:29" ht="15.75" x14ac:dyDescent="0.25">
      <c r="B64" s="80" t="s">
        <v>59</v>
      </c>
      <c r="C64" s="8">
        <f t="shared" ref="C64:C66" si="52">D64+J64</f>
        <v>0.17630212732234013</v>
      </c>
      <c r="D64" s="8">
        <f t="shared" ref="D64:K64" si="53">D63*1.25*1.15</f>
        <v>0.12538260376130334</v>
      </c>
      <c r="E64" s="8">
        <f t="shared" si="53"/>
        <v>2.6327516150719807E-2</v>
      </c>
      <c r="F64" s="8">
        <f t="shared" si="53"/>
        <v>6.3508993947034367E-2</v>
      </c>
      <c r="G64" s="8">
        <f t="shared" ref="G64:G66" si="54">SUM(E64:F64)</f>
        <v>8.9836510097754174E-2</v>
      </c>
      <c r="H64" s="8">
        <f t="shared" si="53"/>
        <v>0.15399167024325502</v>
      </c>
      <c r="I64" s="8">
        <f t="shared" si="53"/>
        <v>1.8677209435112474E-2</v>
      </c>
      <c r="J64" s="8">
        <f t="shared" si="53"/>
        <v>5.0919523561036809E-2</v>
      </c>
      <c r="K64" s="8">
        <f t="shared" si="53"/>
        <v>3.9698997903050752E-2</v>
      </c>
      <c r="L64" s="8"/>
      <c r="M64" s="13"/>
      <c r="N64" s="91"/>
      <c r="O64" s="23"/>
      <c r="P64" s="25"/>
      <c r="Q64" s="13"/>
      <c r="R64" s="39"/>
      <c r="S64" s="13"/>
      <c r="T64" s="13"/>
      <c r="U64" s="13"/>
      <c r="V64" s="13"/>
      <c r="W64" s="13"/>
      <c r="X64" s="17"/>
      <c r="Y64" s="17"/>
      <c r="Z64" s="13"/>
      <c r="AA64" s="13"/>
      <c r="AB64" s="13"/>
      <c r="AC64" s="13"/>
    </row>
    <row r="65" spans="2:29" ht="15.75" x14ac:dyDescent="0.25">
      <c r="B65" s="80" t="s">
        <v>60</v>
      </c>
      <c r="C65" s="8">
        <f t="shared" si="52"/>
        <v>0.50718954592238397</v>
      </c>
      <c r="D65" s="94">
        <f>D66*92500*1.25*1.15/2000</f>
        <v>0.35641950977014625</v>
      </c>
      <c r="E65" s="94">
        <f t="shared" ref="E65" si="55">E66*92500*1.25*1.15/2000</f>
        <v>7.7954393211958461E-2</v>
      </c>
      <c r="F65" s="94">
        <f t="shared" ref="F65" si="56">F66*92500*1.25*1.15/2000</f>
        <v>0.1880467970582804</v>
      </c>
      <c r="G65" s="8">
        <f t="shared" si="54"/>
        <v>0.26600119027023883</v>
      </c>
      <c r="H65" s="94">
        <f t="shared" ref="H65" si="57">H66*92500*1.25*1.15/2000</f>
        <v>0.45596125152052153</v>
      </c>
      <c r="I65" s="94">
        <f t="shared" ref="I65" si="58">I66*92500*1.25*1.15/2000</f>
        <v>5.3092866402824332E-2</v>
      </c>
      <c r="J65" s="94">
        <f t="shared" ref="J65" si="59">J66*92500*1.25*1.15/2000</f>
        <v>0.15077003615223772</v>
      </c>
      <c r="K65" s="94">
        <f t="shared" ref="K65" si="60">K66*92500*1.25*1.15/2000</f>
        <v>0.11285056257013508</v>
      </c>
      <c r="L65" s="8"/>
      <c r="M65" s="13"/>
      <c r="N65" s="91"/>
      <c r="O65" s="23"/>
      <c r="P65" s="25"/>
      <c r="Q65" s="13"/>
      <c r="R65" s="39"/>
      <c r="S65" s="13"/>
      <c r="T65" s="13"/>
      <c r="U65" s="13"/>
      <c r="V65" s="13"/>
      <c r="W65" s="13"/>
      <c r="X65" s="17"/>
      <c r="Y65" s="17"/>
      <c r="Z65" s="13"/>
      <c r="AA65" s="13"/>
      <c r="AB65" s="13"/>
      <c r="AC65" s="13"/>
    </row>
    <row r="66" spans="2:29" ht="15.75" x14ac:dyDescent="0.25">
      <c r="B66" s="81" t="s">
        <v>11</v>
      </c>
      <c r="C66" s="102">
        <f t="shared" si="52"/>
        <v>7.6287029233919092E-3</v>
      </c>
      <c r="D66" s="6">
        <f>D63/D26</f>
        <v>5.3609514983053727E-3</v>
      </c>
      <c r="E66" s="6">
        <f t="shared" ref="E66:K66" si="61">E63/E26</f>
        <v>1.1725220130588347E-3</v>
      </c>
      <c r="F66" s="6">
        <f t="shared" si="61"/>
        <v>2.8284359604535711E-3</v>
      </c>
      <c r="G66" s="102">
        <f t="shared" si="54"/>
        <v>4.0009579735124055E-3</v>
      </c>
      <c r="H66" s="6">
        <f t="shared" si="61"/>
        <v>6.8581715857375736E-3</v>
      </c>
      <c r="I66" s="6">
        <f t="shared" si="61"/>
        <v>7.9857660394377385E-4</v>
      </c>
      <c r="J66" s="6">
        <f t="shared" si="61"/>
        <v>2.2677514250865364E-3</v>
      </c>
      <c r="K66" s="6">
        <f t="shared" si="61"/>
        <v>1.6973997660372842E-3</v>
      </c>
      <c r="L66" s="102">
        <f>SUM(C66+G66+H66+I66+K66)</f>
        <v>2.0983808852622944E-2</v>
      </c>
      <c r="M66" s="35"/>
      <c r="N66" s="32">
        <f>L66*N$16</f>
        <v>2.6229761065778678E-2</v>
      </c>
      <c r="O66" s="38"/>
      <c r="P66" s="37">
        <f>N66*P$16/2000</f>
        <v>1.213126449292264</v>
      </c>
      <c r="Q66" s="34"/>
      <c r="R66" s="40">
        <v>10</v>
      </c>
      <c r="S66" s="15"/>
      <c r="T66" s="15"/>
      <c r="U66" s="13"/>
      <c r="V66" s="13"/>
      <c r="W66" s="13"/>
      <c r="X66" s="17"/>
      <c r="Y66" s="17"/>
      <c r="Z66" s="13"/>
      <c r="AA66" s="13"/>
      <c r="AB66" s="13"/>
      <c r="AC66" s="13"/>
    </row>
    <row r="67" spans="2:29" ht="18.75" x14ac:dyDescent="0.25">
      <c r="B67" s="78" t="s">
        <v>33</v>
      </c>
      <c r="C67" s="78"/>
      <c r="D67" s="5"/>
      <c r="E67" s="5"/>
      <c r="F67" s="5"/>
      <c r="G67" s="5"/>
      <c r="H67" s="19"/>
      <c r="I67" s="5"/>
      <c r="J67" s="5"/>
      <c r="K67" s="19"/>
      <c r="L67" s="19"/>
      <c r="M67" s="13"/>
      <c r="N67" s="28"/>
      <c r="O67" s="23"/>
      <c r="P67" s="25"/>
      <c r="Q67" s="13"/>
      <c r="R67" s="39"/>
      <c r="S67" s="15"/>
      <c r="T67" s="15"/>
      <c r="U67" s="13"/>
      <c r="V67" s="13"/>
      <c r="W67" s="13"/>
      <c r="X67" s="17"/>
      <c r="Y67" s="17"/>
      <c r="Z67" s="13"/>
      <c r="AA67" s="13"/>
      <c r="AB67" s="13"/>
      <c r="AC67" s="13"/>
    </row>
    <row r="68" spans="2:29" ht="15.75" x14ac:dyDescent="0.25">
      <c r="B68" s="79" t="s">
        <v>12</v>
      </c>
      <c r="C68" s="79"/>
      <c r="D68" s="95">
        <v>6.5000000000000002E-2</v>
      </c>
      <c r="E68" s="95">
        <v>2E-3</v>
      </c>
      <c r="F68" s="95">
        <v>2.7E-2</v>
      </c>
      <c r="G68" s="95"/>
      <c r="H68" s="95">
        <v>2.5000000000000001E-2</v>
      </c>
      <c r="I68" s="95">
        <v>1.6E-2</v>
      </c>
      <c r="J68" s="95">
        <v>6.3E-2</v>
      </c>
      <c r="K68" s="95">
        <v>1.2999999999999999E-2</v>
      </c>
      <c r="L68" s="3"/>
      <c r="M68" s="13"/>
      <c r="N68" s="28"/>
      <c r="O68" s="23"/>
      <c r="P68" s="25"/>
      <c r="Q68" s="13"/>
      <c r="R68" s="39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2:29" ht="15.75" x14ac:dyDescent="0.25">
      <c r="B69" s="80" t="s">
        <v>58</v>
      </c>
      <c r="C69" s="8">
        <f>D69+J69</f>
        <v>9.5824993530442937E-2</v>
      </c>
      <c r="D69" s="8">
        <f>D68*D$18*60*92.14/((1-D20/100)*385300000)</f>
        <v>6.2502959287346574E-2</v>
      </c>
      <c r="E69" s="8">
        <f t="shared" ref="E69:K69" si="62">E68*E$18*60*92.14/((1-E20/100)*385300000)</f>
        <v>3.2487923908816163E-4</v>
      </c>
      <c r="F69" s="8">
        <f t="shared" si="62"/>
        <v>1.2026710368125382E-2</v>
      </c>
      <c r="G69" s="8">
        <f t="shared" ref="G69:G72" si="63">SUM(E69:F69)</f>
        <v>1.2351589607213543E-2</v>
      </c>
      <c r="H69" s="8">
        <f t="shared" si="62"/>
        <v>2.8460857191440616E-2</v>
      </c>
      <c r="I69" s="8">
        <f t="shared" si="62"/>
        <v>4.7158756453351261E-3</v>
      </c>
      <c r="J69" s="8">
        <f t="shared" si="62"/>
        <v>3.3322034243096363E-2</v>
      </c>
      <c r="K69" s="8">
        <f t="shared" si="62"/>
        <v>1.1446030247976784E-2</v>
      </c>
      <c r="L69" s="8">
        <f>SUM(C69+G69+H69+I69+K69)</f>
        <v>0.15279934622240898</v>
      </c>
      <c r="M69" s="13"/>
      <c r="N69" s="91">
        <f>L69*N$16</f>
        <v>0.19099918277801123</v>
      </c>
      <c r="O69" s="23"/>
      <c r="P69" s="25"/>
      <c r="Q69" s="13"/>
      <c r="R69" s="39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2:29" ht="15.75" x14ac:dyDescent="0.25">
      <c r="B70" s="80" t="s">
        <v>59</v>
      </c>
      <c r="C70" s="8">
        <f t="shared" ref="C70:C72" si="64">D70+J70</f>
        <v>0.13774842820001171</v>
      </c>
      <c r="D70" s="8">
        <f t="shared" ref="D70:K70" si="65">D69*1.25*1.15</f>
        <v>8.9848003975560684E-2</v>
      </c>
      <c r="E70" s="8">
        <f t="shared" si="65"/>
        <v>4.6701390618923233E-4</v>
      </c>
      <c r="F70" s="8">
        <f t="shared" si="65"/>
        <v>1.7288396154180236E-2</v>
      </c>
      <c r="G70" s="8">
        <f t="shared" si="63"/>
        <v>1.7755410060369469E-2</v>
      </c>
      <c r="H70" s="8">
        <f t="shared" si="65"/>
        <v>4.0912482212695882E-2</v>
      </c>
      <c r="I70" s="8">
        <f t="shared" si="65"/>
        <v>6.7790712401692432E-3</v>
      </c>
      <c r="J70" s="8">
        <f t="shared" si="65"/>
        <v>4.7900424224451024E-2</v>
      </c>
      <c r="K70" s="8">
        <f t="shared" si="65"/>
        <v>1.6453668481466628E-2</v>
      </c>
      <c r="L70" s="8"/>
      <c r="M70" s="13"/>
      <c r="N70" s="28"/>
      <c r="O70" s="23"/>
      <c r="P70" s="25"/>
      <c r="Q70" s="13"/>
      <c r="R70" s="39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2:29" ht="15.75" x14ac:dyDescent="0.25">
      <c r="B71" s="80" t="s">
        <v>60</v>
      </c>
      <c r="C71" s="8">
        <f t="shared" si="64"/>
        <v>0.39723753664608608</v>
      </c>
      <c r="D71" s="94">
        <f>D72*92500*1.25*1.15/2000</f>
        <v>0.25540689513642795</v>
      </c>
      <c r="E71" s="94">
        <f t="shared" ref="E71" si="66">E72*92500*1.25*1.15/2000</f>
        <v>1.382803659491165E-3</v>
      </c>
      <c r="F71" s="94">
        <f t="shared" ref="F71" si="67">F72*92500*1.25*1.15/2000</f>
        <v>5.119003342707016E-2</v>
      </c>
      <c r="G71" s="8">
        <f t="shared" si="63"/>
        <v>5.2572837086561325E-2</v>
      </c>
      <c r="H71" s="94">
        <f t="shared" ref="H71" si="68">H72*92500*1.25*1.15/2000</f>
        <v>0.12113971205743822</v>
      </c>
      <c r="I71" s="94">
        <f t="shared" ref="I71" si="69">I72*92500*1.25*1.15/2000</f>
        <v>1.9270562068704825E-2</v>
      </c>
      <c r="J71" s="94">
        <f t="shared" ref="J71" si="70">J72*92500*1.25*1.15/2000</f>
        <v>0.14183064150965813</v>
      </c>
      <c r="K71" s="94">
        <f t="shared" ref="K71" si="71">K72*92500*1.25*1.15/2000</f>
        <v>4.6772106162743181E-2</v>
      </c>
      <c r="L71" s="8"/>
      <c r="M71" s="13"/>
      <c r="N71" s="91"/>
      <c r="O71" s="23"/>
      <c r="P71" s="25"/>
      <c r="Q71" s="13"/>
      <c r="R71" s="39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2:29" ht="15.75" x14ac:dyDescent="0.25">
      <c r="B72" s="81" t="s">
        <v>11</v>
      </c>
      <c r="C72" s="102">
        <f t="shared" si="64"/>
        <v>5.9749006687072875E-3</v>
      </c>
      <c r="D72" s="6">
        <f>D69/D26</f>
        <v>3.841607823438634E-3</v>
      </c>
      <c r="E72" s="6">
        <f t="shared" ref="E72:K72" si="72">E69/E26</f>
        <v>2.0798926958268993E-5</v>
      </c>
      <c r="F72" s="6">
        <f t="shared" si="72"/>
        <v>7.6995584943184269E-4</v>
      </c>
      <c r="G72" s="102">
        <f t="shared" si="63"/>
        <v>7.9075477639011166E-4</v>
      </c>
      <c r="H72" s="6">
        <f t="shared" si="72"/>
        <v>1.8220779251882598E-3</v>
      </c>
      <c r="I72" s="6">
        <f t="shared" si="72"/>
        <v>2.8985099233774591E-4</v>
      </c>
      <c r="J72" s="6">
        <f t="shared" si="72"/>
        <v>2.1332928452686534E-3</v>
      </c>
      <c r="K72" s="6">
        <f t="shared" si="72"/>
        <v>7.0350523958062595E-4</v>
      </c>
      <c r="L72" s="102">
        <f>SUM(C72+G72+H72+I72+K72)</f>
        <v>9.5810896022040307E-3</v>
      </c>
      <c r="M72" s="35"/>
      <c r="N72" s="32">
        <f>L72*N$16</f>
        <v>1.1976362002755038E-2</v>
      </c>
      <c r="O72" s="36"/>
      <c r="P72" s="37">
        <f>N72*P$16/2000</f>
        <v>0.55390674262742046</v>
      </c>
      <c r="Q72" s="34"/>
      <c r="R72" s="40">
        <v>10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2:29" ht="18.75" x14ac:dyDescent="0.25">
      <c r="B73" s="78" t="s">
        <v>34</v>
      </c>
      <c r="C73" s="78"/>
      <c r="D73" s="5"/>
      <c r="E73" s="5"/>
      <c r="F73" s="5"/>
      <c r="G73" s="5"/>
      <c r="H73" s="19"/>
      <c r="I73" s="5"/>
      <c r="J73" s="5"/>
      <c r="K73" s="19"/>
      <c r="L73" s="19"/>
      <c r="M73" s="13"/>
      <c r="N73" s="28"/>
      <c r="O73" s="23"/>
      <c r="P73" s="25"/>
      <c r="Q73" s="13"/>
      <c r="R73" s="39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2:29" ht="15.75" x14ac:dyDescent="0.25">
      <c r="B74" s="79" t="s">
        <v>12</v>
      </c>
      <c r="C74" s="79"/>
      <c r="D74" s="95">
        <v>2E-3</v>
      </c>
      <c r="E74" s="95">
        <v>2E-3</v>
      </c>
      <c r="F74" s="95">
        <v>2E-3</v>
      </c>
      <c r="G74" s="95"/>
      <c r="H74" s="95">
        <v>1E-3</v>
      </c>
      <c r="I74" s="95">
        <v>1E-3</v>
      </c>
      <c r="J74" s="95">
        <v>2E-3</v>
      </c>
      <c r="K74" s="95">
        <v>1E-3</v>
      </c>
      <c r="L74" s="3"/>
      <c r="M74" s="13"/>
      <c r="N74" s="29"/>
      <c r="O74" s="14"/>
      <c r="P74" s="26"/>
      <c r="Q74" s="13"/>
      <c r="R74" s="43"/>
      <c r="S74" s="22"/>
      <c r="T74" s="22"/>
      <c r="U74" s="13"/>
      <c r="V74" s="13"/>
      <c r="W74" s="13"/>
      <c r="X74" s="13"/>
      <c r="Y74" s="13"/>
      <c r="Z74" s="13"/>
      <c r="AA74" s="13"/>
      <c r="AB74" s="13"/>
      <c r="AC74" s="13"/>
    </row>
    <row r="75" spans="2:29" ht="15.75" x14ac:dyDescent="0.25">
      <c r="B75" s="80" t="s">
        <v>58</v>
      </c>
      <c r="C75" s="8">
        <f>D75+J75</f>
        <v>3.4349236733939043E-3</v>
      </c>
      <c r="D75" s="8">
        <f>D74*D$18*60*106.17/((1-D20/100)*385300000)</f>
        <v>2.2160054724541535E-3</v>
      </c>
      <c r="E75" s="8">
        <f t="shared" ref="E75:K75" si="73">E74*E$18*60*106.17/((1-E20/100)*385300000)</f>
        <v>3.7434804443227832E-4</v>
      </c>
      <c r="F75" s="8">
        <f t="shared" si="73"/>
        <v>1.0265182932444766E-3</v>
      </c>
      <c r="G75" s="8">
        <f>SUM(E75:F75)</f>
        <v>1.4008663376767548E-3</v>
      </c>
      <c r="H75" s="8">
        <f t="shared" si="73"/>
        <v>1.3117817269438898E-3</v>
      </c>
      <c r="I75" s="8">
        <f t="shared" si="73"/>
        <v>3.3962212208679069E-4</v>
      </c>
      <c r="J75" s="8">
        <f t="shared" si="73"/>
        <v>1.2189182009397506E-3</v>
      </c>
      <c r="K75" s="8">
        <f t="shared" si="73"/>
        <v>1.0145305900950855E-3</v>
      </c>
      <c r="L75" s="8">
        <f>SUM(C75+G75+H75+I75+K75)</f>
        <v>7.5017244501964257E-3</v>
      </c>
      <c r="M75" s="13"/>
      <c r="N75" s="91">
        <f>L75*N$16</f>
        <v>9.3771555627455323E-3</v>
      </c>
      <c r="O75" s="10"/>
      <c r="P75" s="27"/>
      <c r="Q75" s="13"/>
      <c r="R75" s="42"/>
      <c r="S75" s="10"/>
      <c r="T75" s="10"/>
      <c r="U75" s="13"/>
      <c r="V75" s="10"/>
      <c r="W75" s="13"/>
      <c r="X75" s="10"/>
      <c r="Y75" s="10"/>
      <c r="Z75" s="13"/>
      <c r="AA75" s="13"/>
      <c r="AB75" s="13"/>
      <c r="AC75" s="13"/>
    </row>
    <row r="76" spans="2:29" ht="15.75" x14ac:dyDescent="0.25">
      <c r="B76" s="80" t="s">
        <v>59</v>
      </c>
      <c r="C76" s="8">
        <f t="shared" ref="C76:C78" si="74">D76+J76</f>
        <v>4.9377027805037367E-3</v>
      </c>
      <c r="D76" s="8">
        <f>D75*1.25*1.15</f>
        <v>3.1855078666528456E-3</v>
      </c>
      <c r="E76" s="8">
        <f t="shared" ref="E76:K76" si="75">E75*1.25*1.15</f>
        <v>5.3812531387139998E-4</v>
      </c>
      <c r="F76" s="8">
        <f t="shared" si="75"/>
        <v>1.4756200465389348E-3</v>
      </c>
      <c r="G76" s="8">
        <f t="shared" ref="G76:G78" si="76">SUM(E76:F76)</f>
        <v>2.0137453604103348E-3</v>
      </c>
      <c r="H76" s="8">
        <f t="shared" si="75"/>
        <v>1.8856862324818416E-3</v>
      </c>
      <c r="I76" s="8">
        <f t="shared" si="75"/>
        <v>4.8820680049976156E-4</v>
      </c>
      <c r="J76" s="8">
        <f t="shared" si="75"/>
        <v>1.7521949138508913E-3</v>
      </c>
      <c r="K76" s="8">
        <f t="shared" si="75"/>
        <v>1.4583877232616851E-3</v>
      </c>
      <c r="L76" s="8"/>
      <c r="M76" s="13"/>
      <c r="N76" s="30"/>
      <c r="O76" s="10"/>
      <c r="P76" s="27"/>
      <c r="Q76" s="13"/>
      <c r="R76" s="42"/>
      <c r="S76" s="10"/>
      <c r="T76" s="10"/>
      <c r="U76" s="13"/>
      <c r="V76" s="10"/>
      <c r="W76" s="13"/>
      <c r="X76" s="10"/>
      <c r="Y76" s="10"/>
      <c r="Z76" s="13"/>
      <c r="AA76" s="13"/>
      <c r="AB76" s="13"/>
      <c r="AC76" s="13"/>
    </row>
    <row r="77" spans="2:29" ht="15.75" x14ac:dyDescent="0.25">
      <c r="B77" s="80" t="s">
        <v>60</v>
      </c>
      <c r="C77" s="8">
        <f t="shared" si="74"/>
        <v>0</v>
      </c>
      <c r="D77" s="8"/>
      <c r="E77" s="8"/>
      <c r="F77" s="8"/>
      <c r="G77" s="8">
        <f t="shared" si="76"/>
        <v>0</v>
      </c>
      <c r="H77" s="8"/>
      <c r="I77" s="8"/>
      <c r="J77" s="8"/>
      <c r="K77" s="8"/>
      <c r="L77" s="8"/>
      <c r="M77" s="13"/>
      <c r="N77" s="91"/>
      <c r="O77" s="10"/>
      <c r="P77" s="27"/>
      <c r="Q77" s="13"/>
      <c r="R77" s="42"/>
      <c r="S77" s="10"/>
      <c r="T77" s="10"/>
      <c r="U77" s="13"/>
      <c r="V77" s="10"/>
      <c r="W77" s="13"/>
      <c r="X77" s="10"/>
      <c r="Y77" s="10"/>
      <c r="Z77" s="13"/>
      <c r="AA77" s="13"/>
      <c r="AB77" s="13"/>
      <c r="AC77" s="13"/>
    </row>
    <row r="78" spans="2:29" ht="15.75" x14ac:dyDescent="0.25">
      <c r="B78" s="81" t="s">
        <v>11</v>
      </c>
      <c r="C78" s="102">
        <f t="shared" si="74"/>
        <v>2.142376706813858E-4</v>
      </c>
      <c r="D78" s="6">
        <f>D75/D26</f>
        <v>1.3620193438562713E-4</v>
      </c>
      <c r="E78" s="6">
        <f t="shared" ref="E78:K78" si="77">E75/E26</f>
        <v>2.3965943945728448E-5</v>
      </c>
      <c r="F78" s="6">
        <f t="shared" si="77"/>
        <v>6.571820059183589E-5</v>
      </c>
      <c r="G78" s="102">
        <f t="shared" si="76"/>
        <v>8.9684144537564335E-5</v>
      </c>
      <c r="H78" s="6">
        <f t="shared" si="77"/>
        <v>8.3980904413821374E-5</v>
      </c>
      <c r="I78" s="6">
        <f t="shared" si="77"/>
        <v>2.0874131658684125E-5</v>
      </c>
      <c r="J78" s="6">
        <f t="shared" si="77"/>
        <v>7.8035736295758678E-5</v>
      </c>
      <c r="K78" s="6">
        <f t="shared" si="77"/>
        <v>6.2355905967737281E-5</v>
      </c>
      <c r="L78" s="102">
        <f>SUM(C78+G78+H78+I78+K78)</f>
        <v>4.7113275725919293E-4</v>
      </c>
      <c r="M78" s="35"/>
      <c r="N78" s="32">
        <f>L78*N$16</f>
        <v>5.8891594657399114E-4</v>
      </c>
      <c r="O78" s="36"/>
      <c r="P78" s="37">
        <f>N78*P$16/2000</f>
        <v>2.7237362529047088E-2</v>
      </c>
      <c r="Q78" s="34"/>
      <c r="R78" s="40">
        <v>10</v>
      </c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2:29" ht="18.75" x14ac:dyDescent="0.25">
      <c r="B79" s="78" t="s">
        <v>35</v>
      </c>
      <c r="C79" s="78"/>
      <c r="D79" s="5"/>
      <c r="E79" s="5"/>
      <c r="F79" s="5"/>
      <c r="G79" s="5"/>
      <c r="H79" s="19"/>
      <c r="I79" s="5"/>
      <c r="J79" s="5"/>
      <c r="K79" s="19"/>
      <c r="L79" s="19"/>
      <c r="M79" s="13"/>
      <c r="N79" s="28"/>
      <c r="O79" s="23"/>
      <c r="P79" s="25"/>
      <c r="Q79" s="13"/>
      <c r="R79" s="39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2:29" ht="15.75" x14ac:dyDescent="0.25">
      <c r="B80" s="79" t="s">
        <v>12</v>
      </c>
      <c r="C80" s="79"/>
      <c r="D80" s="95">
        <v>1.2999999999999999E-2</v>
      </c>
      <c r="E80" s="95">
        <v>1.2E-2</v>
      </c>
      <c r="F80" s="95">
        <v>1.2E-2</v>
      </c>
      <c r="G80" s="95"/>
      <c r="H80" s="95">
        <v>0.01</v>
      </c>
      <c r="I80" s="95">
        <v>8.0000000000000002E-3</v>
      </c>
      <c r="J80" s="95">
        <v>1.7999999999999999E-2</v>
      </c>
      <c r="K80" s="95">
        <v>8.9999999999999993E-3</v>
      </c>
      <c r="L80" s="3"/>
      <c r="M80" s="13"/>
      <c r="N80" s="28"/>
      <c r="O80" s="23"/>
      <c r="P80" s="25"/>
      <c r="Q80" s="13"/>
      <c r="R80" s="39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2:29" ht="15.75" x14ac:dyDescent="0.25">
      <c r="B81" s="80" t="s">
        <v>58</v>
      </c>
      <c r="C81" s="8">
        <f>D81+J81</f>
        <v>2.5371909410550429E-2</v>
      </c>
      <c r="D81" s="8">
        <f>D80*D$18*60*106.16/((1-D20/100)*385300000)</f>
        <v>1.4402678875504039E-2</v>
      </c>
      <c r="E81" s="8">
        <f t="shared" ref="E81:K81" si="78">E80*E$18*60*106.16/((1-E20/100)*385300000)</f>
        <v>2.2458767107618348E-3</v>
      </c>
      <c r="F81" s="8">
        <f t="shared" si="78"/>
        <v>6.1585296417538083E-3</v>
      </c>
      <c r="G81" s="8">
        <f>SUM(E81:F81)</f>
        <v>8.4044063525156431E-3</v>
      </c>
      <c r="H81" s="8">
        <f t="shared" si="78"/>
        <v>1.3116581721047691E-2</v>
      </c>
      <c r="I81" s="8">
        <f t="shared" si="78"/>
        <v>2.716721068530372E-3</v>
      </c>
      <c r="J81" s="8">
        <f t="shared" si="78"/>
        <v>1.0969230535046389E-2</v>
      </c>
      <c r="K81" s="8">
        <f t="shared" si="78"/>
        <v>9.1299152962272603E-3</v>
      </c>
      <c r="L81" s="8">
        <f>SUM(C81+G81+H81+I81+K81)</f>
        <v>5.8739533848871393E-2</v>
      </c>
      <c r="M81" s="13"/>
      <c r="N81" s="91">
        <f>L81*N$16</f>
        <v>7.3424417311089243E-2</v>
      </c>
      <c r="O81" s="23"/>
      <c r="P81" s="25"/>
      <c r="Q81" s="13"/>
      <c r="R81" s="39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2:29" ht="15.75" x14ac:dyDescent="0.25">
      <c r="B82" s="80" t="s">
        <v>59</v>
      </c>
      <c r="C82" s="8">
        <f t="shared" ref="C82:C84" si="79">D82+J82</f>
        <v>3.6472119777666234E-2</v>
      </c>
      <c r="D82" s="8">
        <f>D81*1.25*1.15</f>
        <v>2.0703850883537052E-2</v>
      </c>
      <c r="E82" s="8">
        <f t="shared" ref="E82" si="80">E81*1.25*1.15</f>
        <v>3.2284477717201376E-3</v>
      </c>
      <c r="F82" s="8">
        <f t="shared" ref="F82" si="81">F81*1.25*1.15</f>
        <v>8.8528863600210988E-3</v>
      </c>
      <c r="G82" s="8">
        <f t="shared" ref="G82:G84" si="82">SUM(E82:F82)</f>
        <v>1.2081334131741237E-2</v>
      </c>
      <c r="H82" s="8">
        <f t="shared" ref="H82" si="83">H81*1.25*1.15</f>
        <v>1.8855086224006053E-2</v>
      </c>
      <c r="I82" s="8">
        <f t="shared" ref="I82" si="84">I81*1.25*1.15</f>
        <v>3.9052865360124094E-3</v>
      </c>
      <c r="J82" s="8">
        <f t="shared" ref="J82" si="85">J81*1.25*1.15</f>
        <v>1.5768268894129182E-2</v>
      </c>
      <c r="K82" s="8">
        <f t="shared" ref="K82" si="86">K81*1.25*1.15</f>
        <v>1.3124253238326685E-2</v>
      </c>
      <c r="L82" s="8"/>
      <c r="M82" s="13"/>
      <c r="N82" s="28"/>
      <c r="O82" s="23"/>
      <c r="P82" s="25"/>
      <c r="Q82" s="13"/>
      <c r="R82" s="39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2:29" ht="15.75" x14ac:dyDescent="0.25">
      <c r="B83" s="80" t="s">
        <v>60</v>
      </c>
      <c r="C83" s="8">
        <f t="shared" si="79"/>
        <v>0.10554292565364362</v>
      </c>
      <c r="D83" s="94">
        <f>D84*92500*1.25*1.15/2000</f>
        <v>5.8853909241769448E-2</v>
      </c>
      <c r="E83" s="94">
        <f t="shared" ref="E83" si="87">E84*92500*1.25*1.15/2000</f>
        <v>9.5592643688896511E-3</v>
      </c>
      <c r="F83" s="94">
        <f t="shared" ref="F83" si="88">F84*92500*1.25*1.15/2000</f>
        <v>2.6212931763826879E-2</v>
      </c>
      <c r="G83" s="8">
        <f t="shared" si="82"/>
        <v>3.5772196132716531E-2</v>
      </c>
      <c r="H83" s="94">
        <f t="shared" ref="H83" si="89">H84*92500*1.25*1.15/2000</f>
        <v>5.5828920477610761E-2</v>
      </c>
      <c r="I83" s="94">
        <f t="shared" ref="I83" si="90">I84*92500*1.25*1.15/2000</f>
        <v>1.1101383054122551E-2</v>
      </c>
      <c r="J83" s="94">
        <f t="shared" ref="J83" si="91">J84*92500*1.25*1.15/2000</f>
        <v>4.668901641187418E-2</v>
      </c>
      <c r="K83" s="94">
        <f t="shared" ref="K83" si="92">K84*92500*1.25*1.15/2000</f>
        <v>3.7307726630154213E-2</v>
      </c>
      <c r="L83" s="8"/>
      <c r="M83" s="13"/>
      <c r="N83" s="91"/>
      <c r="O83" s="23"/>
      <c r="P83" s="25"/>
      <c r="Q83" s="13"/>
      <c r="R83" s="39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2:29" ht="15.75" x14ac:dyDescent="0.25">
      <c r="B84" s="81" t="s">
        <v>11</v>
      </c>
      <c r="C84" s="102">
        <f t="shared" si="79"/>
        <v>1.5874846631805388E-3</v>
      </c>
      <c r="D84" s="6">
        <f>D81/D26</f>
        <v>8.8522918718525142E-4</v>
      </c>
      <c r="E84" s="6">
        <f t="shared" ref="E84:K84" si="93">E81/E26</f>
        <v>1.437821197670829E-4</v>
      </c>
      <c r="F84" s="6">
        <f t="shared" si="93"/>
        <v>3.9427206413276625E-4</v>
      </c>
      <c r="G84" s="102">
        <f t="shared" si="82"/>
        <v>5.3805418389984917E-4</v>
      </c>
      <c r="H84" s="6">
        <f t="shared" si="93"/>
        <v>8.3972994372904554E-4</v>
      </c>
      <c r="I84" s="6">
        <f t="shared" si="93"/>
        <v>1.669773244333357E-4</v>
      </c>
      <c r="J84" s="6">
        <f t="shared" si="93"/>
        <v>7.0225547599528739E-4</v>
      </c>
      <c r="K84" s="6">
        <f t="shared" si="93"/>
        <v>5.6115029478962875E-4</v>
      </c>
      <c r="L84" s="102">
        <f>SUM(C84+G84+H84+I84+K84)</f>
        <v>3.6933964100323981E-3</v>
      </c>
      <c r="M84" s="35"/>
      <c r="N84" s="32">
        <f>L84*N$16</f>
        <v>4.6167455125404972E-3</v>
      </c>
      <c r="O84" s="36"/>
      <c r="P84" s="37">
        <f>N84*P$16/2000</f>
        <v>0.21352447995499799</v>
      </c>
      <c r="Q84" s="34"/>
      <c r="R84" s="40">
        <v>10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2:29" ht="18.75" x14ac:dyDescent="0.25">
      <c r="B85" s="78" t="s">
        <v>47</v>
      </c>
      <c r="C85" s="78"/>
      <c r="D85" s="5"/>
      <c r="E85" s="5"/>
      <c r="F85" s="5"/>
      <c r="G85" s="5"/>
      <c r="H85" s="19"/>
      <c r="I85" s="5"/>
      <c r="J85" s="5"/>
      <c r="K85" s="19"/>
      <c r="L85" s="19"/>
      <c r="M85" s="13"/>
      <c r="N85" s="28"/>
      <c r="O85" s="23"/>
      <c r="P85" s="25"/>
      <c r="Q85" s="13"/>
      <c r="R85" s="39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2:29" ht="15.75" x14ac:dyDescent="0.25">
      <c r="B86" s="80" t="s">
        <v>58</v>
      </c>
      <c r="C86" s="8">
        <f>D86+J86</f>
        <v>0.33040551722183265</v>
      </c>
      <c r="D86" s="95">
        <f>D63*2.694</f>
        <v>0.23497790228379214</v>
      </c>
      <c r="E86" s="95">
        <f>1.179*E63</f>
        <v>2.1593141942051239E-2</v>
      </c>
      <c r="F86" s="95">
        <f>1.179*F63</f>
        <v>5.2088420078993752E-2</v>
      </c>
      <c r="G86" s="8">
        <f>SUM(E86:F86)</f>
        <v>7.3681562021044991E-2</v>
      </c>
      <c r="H86" s="95">
        <f>1.179*H63</f>
        <v>0.12629995075951145</v>
      </c>
      <c r="I86" s="95">
        <f>I63*2.694</f>
        <v>3.5002714586569048E-2</v>
      </c>
      <c r="J86" s="95">
        <f>J63*2.694</f>
        <v>9.5427614938040473E-2</v>
      </c>
      <c r="K86" s="95">
        <f>K63*2.694</f>
        <v>7.4399374157091289E-2</v>
      </c>
      <c r="L86" s="8">
        <f>SUM(C86+G86+H86+I86+K86)</f>
        <v>0.63978911874604938</v>
      </c>
      <c r="M86" s="13"/>
      <c r="N86" s="91">
        <f>L86*N$16</f>
        <v>0.79973639843256172</v>
      </c>
      <c r="O86" s="23"/>
      <c r="P86" s="25"/>
      <c r="Q86" s="13"/>
      <c r="R86" s="39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2:29" ht="15.75" x14ac:dyDescent="0.25">
      <c r="B87" s="80" t="s">
        <v>59</v>
      </c>
      <c r="C87" s="8">
        <f t="shared" ref="C87:C89" si="94">D87+J87</f>
        <v>0.47495793100638439</v>
      </c>
      <c r="D87" s="8">
        <f>D86*1.25*1.15</f>
        <v>0.33778073453295121</v>
      </c>
      <c r="E87" s="8">
        <f t="shared" ref="E87" si="95">E86*1.25*1.15</f>
        <v>3.1040141541698655E-2</v>
      </c>
      <c r="F87" s="8">
        <f t="shared" ref="F87" si="96">F86*1.25*1.15</f>
        <v>7.4877103863553507E-2</v>
      </c>
      <c r="G87" s="8">
        <f t="shared" ref="G87:G89" si="97">SUM(E87:F87)</f>
        <v>0.10591724540525216</v>
      </c>
      <c r="H87" s="8">
        <f t="shared" ref="H87" si="98">H86*1.25*1.15</f>
        <v>0.1815561792167977</v>
      </c>
      <c r="I87" s="8">
        <f t="shared" ref="I87" si="99">I86*1.25*1.15</f>
        <v>5.0316402218193008E-2</v>
      </c>
      <c r="J87" s="8">
        <f t="shared" ref="J87" si="100">J86*1.25*1.15</f>
        <v>0.13717719647343316</v>
      </c>
      <c r="K87" s="8">
        <f t="shared" ref="K87" si="101">K86*1.25*1.15</f>
        <v>0.10694910035081873</v>
      </c>
      <c r="L87" s="8"/>
      <c r="M87" s="13"/>
      <c r="N87" s="28"/>
      <c r="O87" s="23"/>
      <c r="P87" s="25"/>
      <c r="Q87" s="13"/>
      <c r="R87" s="39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2:29" ht="15.75" x14ac:dyDescent="0.25">
      <c r="B88" s="80" t="s">
        <v>60</v>
      </c>
      <c r="C88" s="8">
        <f t="shared" si="94"/>
        <v>1.3663686367149022</v>
      </c>
      <c r="D88" s="94">
        <f>D89*92500*1.25*1.15/2000</f>
        <v>0.9601941593207739</v>
      </c>
      <c r="E88" s="94">
        <f t="shared" ref="E88" si="102">E89*92500*1.25*1.15/2000</f>
        <v>9.1908229596899038E-2</v>
      </c>
      <c r="F88" s="94">
        <f t="shared" ref="F88" si="103">F89*92500*1.25*1.15/2000</f>
        <v>0.22170717373171253</v>
      </c>
      <c r="G88" s="8">
        <f t="shared" si="97"/>
        <v>0.3136154033286116</v>
      </c>
      <c r="H88" s="94">
        <f t="shared" ref="H88" si="104">H89*92500*1.25*1.15/2000</f>
        <v>0.53757831554269486</v>
      </c>
      <c r="I88" s="94">
        <f t="shared" ref="I88" si="105">I89*92500*1.25*1.15/2000</f>
        <v>0.14303218208920876</v>
      </c>
      <c r="J88" s="94">
        <f t="shared" ref="J88" si="106">J89*92500*1.25*1.15/2000</f>
        <v>0.40617447739412832</v>
      </c>
      <c r="K88" s="94">
        <f t="shared" ref="K88" si="107">K89*92500*1.25*1.15/2000</f>
        <v>0.30401941556394385</v>
      </c>
      <c r="L88" s="8"/>
      <c r="M88" s="13"/>
      <c r="N88" s="28"/>
      <c r="O88" s="23"/>
      <c r="P88" s="25"/>
      <c r="Q88" s="13"/>
      <c r="R88" s="39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2:29" ht="15.75" x14ac:dyDescent="0.25">
      <c r="B89" s="81" t="s">
        <v>11</v>
      </c>
      <c r="C89" s="102">
        <f t="shared" si="94"/>
        <v>2.0551725675617805E-2</v>
      </c>
      <c r="D89" s="6">
        <f>D86/D26</f>
        <v>1.4442403336434675E-2</v>
      </c>
      <c r="E89" s="6">
        <f>E86/E26</f>
        <v>1.3824034533963662E-3</v>
      </c>
      <c r="F89" s="6">
        <f>F86/F26</f>
        <v>3.3347259973747602E-3</v>
      </c>
      <c r="G89" s="102">
        <f t="shared" si="97"/>
        <v>4.7171294507711266E-3</v>
      </c>
      <c r="H89" s="6">
        <f>H86/H26</f>
        <v>8.0857842995846006E-3</v>
      </c>
      <c r="I89" s="6">
        <f>I86/I26</f>
        <v>2.1513653710245268E-3</v>
      </c>
      <c r="J89" s="6">
        <f>J86/J26</f>
        <v>6.109322339183129E-3</v>
      </c>
      <c r="K89" s="6">
        <f>K86/K26</f>
        <v>4.5727949697044433E-3</v>
      </c>
      <c r="L89" s="102">
        <f>SUM(C89+G89+H89+I89+K89)</f>
        <v>4.0078799766702505E-2</v>
      </c>
      <c r="M89" s="35"/>
      <c r="N89" s="32">
        <f>L89*N$16</f>
        <v>5.0098499708378132E-2</v>
      </c>
      <c r="O89" s="36"/>
      <c r="P89" s="37">
        <f>N89*P$16/2000</f>
        <v>2.3170556115124885</v>
      </c>
      <c r="Q89" s="34"/>
      <c r="R89" s="40">
        <v>10</v>
      </c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2:29" ht="18.75" x14ac:dyDescent="0.25">
      <c r="B90" s="78" t="s">
        <v>48</v>
      </c>
      <c r="C90" s="78"/>
      <c r="D90" s="5"/>
      <c r="E90" s="5"/>
      <c r="F90" s="5"/>
      <c r="G90" s="5"/>
      <c r="H90" s="5"/>
      <c r="I90" s="5"/>
      <c r="J90" s="5"/>
      <c r="K90" s="5"/>
      <c r="L90" s="19"/>
      <c r="M90" s="13"/>
      <c r="N90" s="28"/>
      <c r="O90" s="23"/>
      <c r="P90" s="25"/>
      <c r="Q90" s="13"/>
      <c r="R90" s="39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2:29" ht="15.75" x14ac:dyDescent="0.25">
      <c r="B91" s="80" t="s">
        <v>58</v>
      </c>
      <c r="C91" s="8">
        <f>D91+J91</f>
        <v>0.10007828584002057</v>
      </c>
      <c r="D91" s="95">
        <f>0.816*D63</f>
        <v>7.1173707595981586E-2</v>
      </c>
      <c r="E91" s="95">
        <f>0.463*E63</f>
        <v>8.4797495497622756E-3</v>
      </c>
      <c r="F91" s="95">
        <f>0.463*F63</f>
        <v>2.0455418572157852E-2</v>
      </c>
      <c r="G91" s="8">
        <f>SUM(E91:F91)</f>
        <v>2.8935168121920127E-2</v>
      </c>
      <c r="H91" s="95">
        <f>0.463*H63</f>
        <v>4.9598708398349275E-2</v>
      </c>
      <c r="I91" s="95">
        <f>0.816*I63</f>
        <v>1.0602158538470803E-2</v>
      </c>
      <c r="J91" s="95">
        <f>0.816*J63</f>
        <v>2.8904578244038984E-2</v>
      </c>
      <c r="K91" s="95">
        <f>0.816*K63</f>
        <v>2.2535222461836115E-2</v>
      </c>
      <c r="L91" s="8">
        <f>SUM(C91+G91+H91+I91+K91)</f>
        <v>0.2117495433605969</v>
      </c>
      <c r="M91" s="13"/>
      <c r="N91" s="91">
        <f>L91*N$16</f>
        <v>0.2646869292007461</v>
      </c>
      <c r="O91" s="23"/>
      <c r="P91" s="25"/>
      <c r="Q91" s="13"/>
      <c r="R91" s="39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2:29" ht="15.75" x14ac:dyDescent="0.25">
      <c r="B92" s="80" t="s">
        <v>59</v>
      </c>
      <c r="C92" s="8">
        <f t="shared" ref="C92:C94" si="108">D92+J92</f>
        <v>0.14386253589502954</v>
      </c>
      <c r="D92" s="8">
        <f>D91*1.25*1.15</f>
        <v>0.10231220466922351</v>
      </c>
      <c r="E92" s="8">
        <f t="shared" ref="E92" si="109">E91*1.25*1.15</f>
        <v>1.218963997778327E-2</v>
      </c>
      <c r="F92" s="8">
        <f t="shared" ref="F92" si="110">F91*1.25*1.15</f>
        <v>2.940466419747691E-2</v>
      </c>
      <c r="G92" s="8">
        <f t="shared" ref="G92:G94" si="111">SUM(E92:F92)</f>
        <v>4.159430417526018E-2</v>
      </c>
      <c r="H92" s="8">
        <f t="shared" ref="H92" si="112">H91*1.25*1.15</f>
        <v>7.1298143322627086E-2</v>
      </c>
      <c r="I92" s="8">
        <f t="shared" ref="I92" si="113">I91*1.25*1.15</f>
        <v>1.5240602899051778E-2</v>
      </c>
      <c r="J92" s="8">
        <f t="shared" ref="J92" si="114">J91*1.25*1.15</f>
        <v>4.155033122580603E-2</v>
      </c>
      <c r="K92" s="8">
        <f t="shared" ref="K92" si="115">K91*1.25*1.15</f>
        <v>3.2394382288889412E-2</v>
      </c>
      <c r="L92" s="8"/>
      <c r="M92" s="13"/>
      <c r="N92" s="28"/>
      <c r="O92" s="23"/>
      <c r="P92" s="25"/>
      <c r="Q92" s="13"/>
      <c r="R92" s="39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2:29" ht="15.75" x14ac:dyDescent="0.25">
      <c r="B93" s="80" t="s">
        <v>60</v>
      </c>
      <c r="C93" s="8">
        <f t="shared" si="108"/>
        <v>0.41386666947266532</v>
      </c>
      <c r="D93" s="94">
        <f>D94*92500*1.25*1.15/2000</f>
        <v>0.29083831997243936</v>
      </c>
      <c r="E93" s="94">
        <f t="shared" ref="E93" si="116">E94*92500*1.25*1.15/2000</f>
        <v>3.6092884057136766E-2</v>
      </c>
      <c r="F93" s="94">
        <f t="shared" ref="F93" si="117">F94*92500*1.25*1.15/2000</f>
        <v>8.706566703798381E-2</v>
      </c>
      <c r="G93" s="8">
        <f t="shared" si="111"/>
        <v>0.12315855109512058</v>
      </c>
      <c r="H93" s="94">
        <f t="shared" ref="H93" si="118">H94*92500*1.25*1.15/2000</f>
        <v>0.21111005945400146</v>
      </c>
      <c r="I93" s="94">
        <f t="shared" ref="I93" si="119">I94*92500*1.25*1.15/2000</f>
        <v>4.3323778984704651E-2</v>
      </c>
      <c r="J93" s="94">
        <f t="shared" ref="J93" si="120">J94*92500*1.25*1.15/2000</f>
        <v>0.12302834950022595</v>
      </c>
      <c r="K93" s="94">
        <f t="shared" ref="K93" si="121">K94*92500*1.25*1.15/2000</f>
        <v>9.2086059057230205E-2</v>
      </c>
      <c r="L93" s="8"/>
      <c r="M93" s="13"/>
      <c r="N93" s="91"/>
      <c r="O93" s="23"/>
      <c r="P93" s="25"/>
      <c r="Q93" s="13"/>
      <c r="R93" s="39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2:29" ht="15.75" x14ac:dyDescent="0.25">
      <c r="B94" s="81" t="s">
        <v>11</v>
      </c>
      <c r="C94" s="102">
        <f t="shared" si="108"/>
        <v>6.2250215854877979E-3</v>
      </c>
      <c r="D94" s="6">
        <f>D91/D26</f>
        <v>4.3745364226171844E-3</v>
      </c>
      <c r="E94" s="6">
        <f>E91/E26</f>
        <v>5.428776920462405E-4</v>
      </c>
      <c r="F94" s="6">
        <f>F91/F26</f>
        <v>1.3095658496900034E-3</v>
      </c>
      <c r="G94" s="102">
        <f t="shared" si="111"/>
        <v>1.852443541736244E-3</v>
      </c>
      <c r="H94" s="6">
        <f>H91/H26</f>
        <v>3.1753334441964967E-3</v>
      </c>
      <c r="I94" s="6">
        <f>I91/I26</f>
        <v>6.5163850881811943E-4</v>
      </c>
      <c r="J94" s="6">
        <f>J91/J26</f>
        <v>1.8504851628706137E-3</v>
      </c>
      <c r="K94" s="6">
        <f>K91/K26</f>
        <v>1.3850782090864238E-3</v>
      </c>
      <c r="L94" s="102">
        <f>SUM(C94+G94+H94+I94+K94)</f>
        <v>1.3289515289325081E-2</v>
      </c>
      <c r="M94" s="35"/>
      <c r="N94" s="32">
        <f>L94*N$16</f>
        <v>1.6611894111656353E-2</v>
      </c>
      <c r="O94" s="36"/>
      <c r="P94" s="37">
        <f>N94*P$16/2000</f>
        <v>0.76830010266410631</v>
      </c>
      <c r="Q94" s="34"/>
      <c r="R94" s="40">
        <v>10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2:29" ht="18.75" x14ac:dyDescent="0.25">
      <c r="B95" s="78" t="s">
        <v>49</v>
      </c>
      <c r="C95" s="78"/>
      <c r="D95" s="5"/>
      <c r="E95" s="5"/>
      <c r="F95" s="5"/>
      <c r="G95" s="5"/>
      <c r="H95" s="5"/>
      <c r="I95" s="5"/>
      <c r="J95" s="5"/>
      <c r="K95" s="5"/>
      <c r="L95" s="19"/>
      <c r="M95" s="13"/>
      <c r="N95" s="28"/>
      <c r="O95" s="23"/>
      <c r="P95" s="25"/>
      <c r="Q95" s="13"/>
      <c r="R95" s="39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2:29" ht="15.75" x14ac:dyDescent="0.25">
      <c r="B96" s="80" t="s">
        <v>58</v>
      </c>
      <c r="C96" s="8">
        <f>D96+J96</f>
        <v>0.11761651485365163</v>
      </c>
      <c r="D96" s="95">
        <f>0.959*D63</f>
        <v>8.3646550961453847E-2</v>
      </c>
      <c r="E96" s="95">
        <f>0.726*E63</f>
        <v>1.3296540330728751E-2</v>
      </c>
      <c r="F96" s="95">
        <f>0.726*F63</f>
        <v>3.2074803203858748E-2</v>
      </c>
      <c r="G96" s="8">
        <f>SUM(E96:F96)</f>
        <v>4.5371343534587501E-2</v>
      </c>
      <c r="H96" s="95">
        <f>0.726*H63</f>
        <v>7.7772488762854364E-2</v>
      </c>
      <c r="I96" s="95">
        <f>0.959*I63</f>
        <v>1.2460134850972427E-2</v>
      </c>
      <c r="J96" s="95">
        <f>0.959*J63</f>
        <v>3.396996389219778E-2</v>
      </c>
      <c r="K96" s="95">
        <f>0.959*K63</f>
        <v>2.6484409731496121E-2</v>
      </c>
      <c r="L96" s="8">
        <f>SUM(C96+G96+H96+I96+K96)</f>
        <v>0.27970489173356206</v>
      </c>
      <c r="M96" s="13"/>
      <c r="N96" s="91">
        <f>L96*N$16</f>
        <v>0.34963111466695257</v>
      </c>
      <c r="O96" s="23"/>
      <c r="P96" s="25"/>
      <c r="Q96" s="13"/>
      <c r="R96" s="39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2:29" ht="15.75" x14ac:dyDescent="0.25">
      <c r="B97" s="80" t="s">
        <v>59</v>
      </c>
      <c r="C97" s="8">
        <f t="shared" ref="C97:C99" si="122">D97+J97</f>
        <v>0.1690737401021242</v>
      </c>
      <c r="D97" s="8">
        <f>D96*1.25*1.15</f>
        <v>0.1202419170070899</v>
      </c>
      <c r="E97" s="8">
        <f t="shared" ref="E97" si="123">E96*1.25*1.15</f>
        <v>1.9113776725422579E-2</v>
      </c>
      <c r="F97" s="8">
        <f t="shared" ref="F97" si="124">F96*1.25*1.15</f>
        <v>4.6107529605546947E-2</v>
      </c>
      <c r="G97" s="8">
        <f t="shared" ref="G97:G99" si="125">SUM(E97:F97)</f>
        <v>6.5221306330969522E-2</v>
      </c>
      <c r="H97" s="8">
        <f t="shared" ref="H97" si="126">H96*1.25*1.15</f>
        <v>0.11179795259660313</v>
      </c>
      <c r="I97" s="8">
        <f t="shared" ref="I97" si="127">I96*1.25*1.15</f>
        <v>1.7911443848272864E-2</v>
      </c>
      <c r="J97" s="8">
        <f t="shared" ref="J97" si="128">J96*1.25*1.15</f>
        <v>4.8831823095034303E-2</v>
      </c>
      <c r="K97" s="8">
        <f t="shared" ref="K97" si="129">K96*1.25*1.15</f>
        <v>3.807133898902567E-2</v>
      </c>
      <c r="L97" s="8"/>
      <c r="M97" s="13"/>
      <c r="N97" s="91"/>
      <c r="O97" s="23"/>
      <c r="P97" s="25"/>
      <c r="Q97" s="13"/>
      <c r="R97" s="39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2:29" ht="15.75" x14ac:dyDescent="0.25">
      <c r="B98" s="80" t="s">
        <v>60</v>
      </c>
      <c r="C98" s="8">
        <f t="shared" si="122"/>
        <v>0.48639477453956614</v>
      </c>
      <c r="D98" s="94">
        <f>D99*92500*1.25*1.15/2000</f>
        <v>0.34180630986957022</v>
      </c>
      <c r="E98" s="94">
        <f t="shared" ref="E98" si="130">E99*92500*1.25*1.15/2000</f>
        <v>5.6594889471881828E-2</v>
      </c>
      <c r="F98" s="94">
        <f t="shared" ref="F98" si="131">F99*92500*1.25*1.15/2000</f>
        <v>0.13652197466431154</v>
      </c>
      <c r="G98" s="8">
        <f t="shared" si="125"/>
        <v>0.19311686413619336</v>
      </c>
      <c r="H98" s="94">
        <f t="shared" ref="H98" si="132">H99*92500*1.25*1.15/2000</f>
        <v>0.3310278686038986</v>
      </c>
      <c r="I98" s="94">
        <f t="shared" ref="I98" si="133">I99*92500*1.25*1.15/2000</f>
        <v>5.0916058880308535E-2</v>
      </c>
      <c r="J98" s="94">
        <f t="shared" ref="J98" si="134">J99*92500*1.25*1.15/2000</f>
        <v>0.14458846466999595</v>
      </c>
      <c r="K98" s="94">
        <f t="shared" ref="K98" si="135">K99*92500*1.25*1.15/2000</f>
        <v>0.10822368950475951</v>
      </c>
      <c r="L98" s="8"/>
      <c r="M98" s="13"/>
      <c r="N98" s="91"/>
      <c r="O98" s="23"/>
      <c r="P98" s="25"/>
      <c r="Q98" s="13"/>
      <c r="R98" s="39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2:29" ht="15.75" x14ac:dyDescent="0.25">
      <c r="B99" s="81" t="s">
        <v>11</v>
      </c>
      <c r="C99" s="102">
        <f t="shared" si="122"/>
        <v>7.3159261035328407E-3</v>
      </c>
      <c r="D99" s="6">
        <f>D96/D26</f>
        <v>5.1411524868748525E-3</v>
      </c>
      <c r="E99" s="6">
        <f>E96/E26</f>
        <v>8.5125098148071388E-4</v>
      </c>
      <c r="F99" s="6">
        <f>F96/F26</f>
        <v>2.0534445072892924E-3</v>
      </c>
      <c r="G99" s="102">
        <f t="shared" si="125"/>
        <v>2.9046954887700063E-3</v>
      </c>
      <c r="H99" s="6">
        <f>H96/H26</f>
        <v>4.9790325712454784E-3</v>
      </c>
      <c r="I99" s="6">
        <f>I96/I26</f>
        <v>7.6583496318207919E-4</v>
      </c>
      <c r="J99" s="6">
        <f>J96/J26</f>
        <v>2.1747736166579886E-3</v>
      </c>
      <c r="K99" s="6">
        <f>K96/K26</f>
        <v>1.6278063756297555E-3</v>
      </c>
      <c r="L99" s="102">
        <f>SUM(C99+G99+H99+I99+K99)</f>
        <v>1.7593295502360159E-2</v>
      </c>
      <c r="M99" s="35"/>
      <c r="N99" s="32">
        <f>L99*N$16</f>
        <v>2.1991619377950199E-2</v>
      </c>
      <c r="O99" s="36"/>
      <c r="P99" s="37">
        <f>N99*P$16/2000</f>
        <v>1.0171123962301967</v>
      </c>
      <c r="Q99" s="34"/>
      <c r="R99" s="40">
        <v>10</v>
      </c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2:29" ht="18.75" x14ac:dyDescent="0.25">
      <c r="B100" s="78" t="s">
        <v>50</v>
      </c>
      <c r="C100" s="78"/>
      <c r="D100" s="5"/>
      <c r="E100" s="5"/>
      <c r="F100" s="5"/>
      <c r="G100" s="5"/>
      <c r="H100" s="5"/>
      <c r="I100" s="5"/>
      <c r="J100" s="5"/>
      <c r="K100" s="5"/>
      <c r="L100" s="19"/>
      <c r="M100" s="13"/>
      <c r="N100" s="28"/>
      <c r="O100" s="23"/>
      <c r="P100" s="25"/>
      <c r="Q100" s="13"/>
      <c r="R100" s="39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2:29" ht="15.75" x14ac:dyDescent="0.25">
      <c r="B101" s="80" t="s">
        <v>58</v>
      </c>
      <c r="C101" s="8">
        <f>D101+J101</f>
        <v>8.008715766364391E-2</v>
      </c>
      <c r="D101" s="95">
        <f>0.653*D63</f>
        <v>5.6956410612960758E-2</v>
      </c>
      <c r="E101" s="95">
        <f>0.453*E63</f>
        <v>8.2966016113224864E-3</v>
      </c>
      <c r="F101" s="95">
        <f>0.453*F63</f>
        <v>2.0013616875135004E-2</v>
      </c>
      <c r="G101" s="8">
        <f>SUM(E101:F101)</f>
        <v>2.831021848645749E-2</v>
      </c>
      <c r="H101" s="95">
        <f>0.453*H63</f>
        <v>4.8527461996657063E-2</v>
      </c>
      <c r="I101" s="95">
        <f>0.653*I63</f>
        <v>8.4843253990458754E-3</v>
      </c>
      <c r="J101" s="95">
        <f>0.653*J63</f>
        <v>2.3130747050683159E-2</v>
      </c>
      <c r="K101" s="95">
        <f>0.653*K63</f>
        <v>1.803370130830758E-2</v>
      </c>
      <c r="L101" s="8">
        <f>SUM(C101+G101+H101+I101+K101)</f>
        <v>0.1834428648541119</v>
      </c>
      <c r="M101" s="13"/>
      <c r="N101" s="91">
        <f>L101*N$16</f>
        <v>0.22930358106763987</v>
      </c>
      <c r="O101" s="23"/>
      <c r="P101" s="25"/>
      <c r="Q101" s="13"/>
      <c r="R101" s="39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2:29" ht="15.75" x14ac:dyDescent="0.25">
      <c r="B102" s="80" t="s">
        <v>59</v>
      </c>
      <c r="C102" s="8">
        <f t="shared" ref="C102:C104" si="136">D102+J102</f>
        <v>0.11512528914148813</v>
      </c>
      <c r="D102" s="8">
        <f>D101*1.25*1.15</f>
        <v>8.1874840256131093E-2</v>
      </c>
      <c r="E102" s="8">
        <f t="shared" ref="E102" si="137">E101*1.25*1.15</f>
        <v>1.1926364816276073E-2</v>
      </c>
      <c r="F102" s="8">
        <f t="shared" ref="F102" si="138">F101*1.25*1.15</f>
        <v>2.8769574258006567E-2</v>
      </c>
      <c r="G102" s="8">
        <f t="shared" ref="G102:G104" si="139">SUM(E102:F102)</f>
        <v>4.0695939074282636E-2</v>
      </c>
      <c r="H102" s="8">
        <f t="shared" ref="H102" si="140">H101*1.25*1.15</f>
        <v>6.9758226620194527E-2</v>
      </c>
      <c r="I102" s="8">
        <f t="shared" ref="I102" si="141">I101*1.25*1.15</f>
        <v>1.2196217761128444E-2</v>
      </c>
      <c r="J102" s="8">
        <f t="shared" ref="J102" si="142">J101*1.25*1.15</f>
        <v>3.325044888535704E-2</v>
      </c>
      <c r="K102" s="8">
        <f t="shared" ref="K102" si="143">K101*1.25*1.15</f>
        <v>2.5923445630692148E-2</v>
      </c>
      <c r="L102" s="8"/>
      <c r="M102" s="13"/>
      <c r="N102" s="91"/>
      <c r="O102" s="23"/>
      <c r="P102" s="25"/>
      <c r="Q102" s="13"/>
      <c r="R102" s="39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2:29" ht="15.75" x14ac:dyDescent="0.25">
      <c r="B103" s="80" t="s">
        <v>60</v>
      </c>
      <c r="C103" s="8">
        <f t="shared" si="136"/>
        <v>0.33119477348731674</v>
      </c>
      <c r="D103" s="94">
        <f>D104*92500*1.25*1.15/2000</f>
        <v>0.23274193987990552</v>
      </c>
      <c r="E103" s="94">
        <f t="shared" ref="E103" si="144">E104*92500*1.25*1.15/2000</f>
        <v>3.5313340125017183E-2</v>
      </c>
      <c r="F103" s="94">
        <f t="shared" ref="F103" si="145">F104*92500*1.25*1.15/2000</f>
        <v>8.5185199067401005E-2</v>
      </c>
      <c r="G103" s="8">
        <f t="shared" si="139"/>
        <v>0.12049853919241818</v>
      </c>
      <c r="H103" s="94">
        <f t="shared" ref="H103" si="146">H104*92500*1.25*1.15/2000</f>
        <v>0.20655044693879623</v>
      </c>
      <c r="I103" s="94">
        <f t="shared" ref="I103" si="147">I104*92500*1.25*1.15/2000</f>
        <v>3.4669641761044298E-2</v>
      </c>
      <c r="J103" s="94">
        <f t="shared" ref="J103" si="148">J104*92500*1.25*1.15/2000</f>
        <v>9.8452833607411208E-2</v>
      </c>
      <c r="K103" s="94">
        <f t="shared" ref="K103" si="149">K104*92500*1.25*1.15/2000</f>
        <v>7.3691417358298192E-2</v>
      </c>
      <c r="L103" s="8"/>
      <c r="M103" s="13"/>
      <c r="N103" s="91"/>
      <c r="O103" s="23"/>
      <c r="P103" s="25"/>
      <c r="Q103" s="13"/>
      <c r="R103" s="39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2:29" ht="15.75" x14ac:dyDescent="0.25">
      <c r="B104" s="81" t="s">
        <v>11</v>
      </c>
      <c r="C104" s="8">
        <f t="shared" si="136"/>
        <v>4.9815430089749169E-3</v>
      </c>
      <c r="D104" s="6">
        <f>D101/D26</f>
        <v>3.5007013283934085E-3</v>
      </c>
      <c r="E104" s="6">
        <f>E101/E26</f>
        <v>5.3115247191565219E-4</v>
      </c>
      <c r="F104" s="6">
        <f>F101/F26</f>
        <v>1.2812814900854677E-3</v>
      </c>
      <c r="G104" s="102">
        <f t="shared" si="139"/>
        <v>1.8124339620011198E-3</v>
      </c>
      <c r="H104" s="6">
        <f>H101/H26</f>
        <v>3.1067517283391208E-3</v>
      </c>
      <c r="I104" s="6">
        <f>I101/I26</f>
        <v>5.2147052237528431E-4</v>
      </c>
      <c r="J104" s="6">
        <f>J101/J26</f>
        <v>1.4808416805815084E-3</v>
      </c>
      <c r="K104" s="6">
        <f>K101/K26</f>
        <v>1.1084020472223468E-3</v>
      </c>
      <c r="L104" s="102">
        <f>SUM(C104+G104+H104+I104+K104)</f>
        <v>1.1530601268912789E-2</v>
      </c>
      <c r="M104" s="35"/>
      <c r="N104" s="32">
        <f>L104*N$16</f>
        <v>1.4413251586140987E-2</v>
      </c>
      <c r="O104" s="36"/>
      <c r="P104" s="37">
        <f>N104*P$16/2000</f>
        <v>0.66661288585902057</v>
      </c>
      <c r="Q104" s="34"/>
      <c r="R104" s="40">
        <v>10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2:29" ht="18.75" x14ac:dyDescent="0.25">
      <c r="B105" s="78" t="s">
        <v>51</v>
      </c>
      <c r="C105" s="105"/>
      <c r="D105" s="5"/>
      <c r="E105" s="5"/>
      <c r="F105" s="5"/>
      <c r="G105" s="5"/>
      <c r="H105" s="5"/>
      <c r="I105" s="5"/>
      <c r="J105" s="5"/>
      <c r="K105" s="5"/>
      <c r="L105" s="19"/>
      <c r="M105" s="13"/>
      <c r="N105" s="28"/>
      <c r="O105" s="23"/>
      <c r="P105" s="25"/>
      <c r="Q105" s="13"/>
      <c r="R105" s="39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2:29" ht="15.75" x14ac:dyDescent="0.25">
      <c r="B106" s="80" t="s">
        <v>58</v>
      </c>
      <c r="C106" s="8">
        <f>D106+J106</f>
        <v>9.5172487514529364E-2</v>
      </c>
      <c r="D106" s="95">
        <f>0.776*D63</f>
        <v>6.7684800360884451E-2</v>
      </c>
      <c r="E106" s="95">
        <f>0.937*E63</f>
        <v>1.7160961831808322E-2</v>
      </c>
      <c r="F106" s="95">
        <f>0.937*F63</f>
        <v>4.1396819011040836E-2</v>
      </c>
      <c r="G106" s="8">
        <f>SUM(E106:F106)</f>
        <v>5.8557780842849155E-2</v>
      </c>
      <c r="H106" s="95">
        <f>0.937*H63</f>
        <v>0.10037578783855998</v>
      </c>
      <c r="I106" s="95">
        <f>0.776*I63</f>
        <v>1.0082444884624196E-2</v>
      </c>
      <c r="J106" s="95">
        <f>0.776*J63</f>
        <v>2.748768715364492E-2</v>
      </c>
      <c r="K106" s="95">
        <f>0.776*K63</f>
        <v>2.143055469409905E-2</v>
      </c>
      <c r="L106" s="8">
        <f>SUM(C106+G106+H106+I106+K106)</f>
        <v>0.28561905577466173</v>
      </c>
      <c r="M106" s="13"/>
      <c r="N106" s="91">
        <f>L106*N$16</f>
        <v>0.3570238197183272</v>
      </c>
      <c r="O106" s="23"/>
      <c r="P106" s="25"/>
      <c r="Q106" s="13"/>
      <c r="R106" s="39"/>
      <c r="S106" s="15"/>
      <c r="T106" s="15"/>
      <c r="U106" s="13"/>
      <c r="V106" s="13"/>
      <c r="W106" s="13"/>
      <c r="X106" s="16"/>
      <c r="Y106" s="16"/>
      <c r="Z106" s="13"/>
      <c r="AA106" s="13"/>
      <c r="AB106" s="13"/>
      <c r="AC106" s="13"/>
    </row>
    <row r="107" spans="2:29" ht="15.75" x14ac:dyDescent="0.25">
      <c r="B107" s="80" t="s">
        <v>59</v>
      </c>
      <c r="C107" s="8">
        <f t="shared" ref="C107:C109" si="150">D107+J107</f>
        <v>0.13681045080213594</v>
      </c>
      <c r="D107" s="8">
        <f>D106*1.25*1.15</f>
        <v>9.7296900518771379E-2</v>
      </c>
      <c r="E107" s="8">
        <f t="shared" ref="E107" si="151">E106*1.25*1.15</f>
        <v>2.4668882633224462E-2</v>
      </c>
      <c r="F107" s="8">
        <f t="shared" ref="F107" si="152">F106*1.25*1.15</f>
        <v>5.95079273283712E-2</v>
      </c>
      <c r="G107" s="8">
        <f t="shared" ref="G107:G109" si="153">SUM(E107:F107)</f>
        <v>8.4176809961595656E-2</v>
      </c>
      <c r="H107" s="8">
        <f t="shared" ref="H107" si="154">H106*1.25*1.15</f>
        <v>0.14429019501792997</v>
      </c>
      <c r="I107" s="8">
        <f t="shared" ref="I107" si="155">I106*1.25*1.15</f>
        <v>1.4493514521647282E-2</v>
      </c>
      <c r="J107" s="8">
        <f t="shared" ref="J107" si="156">J106*1.25*1.15</f>
        <v>3.9513550283364569E-2</v>
      </c>
      <c r="K107" s="8">
        <f t="shared" ref="K107" si="157">K106*1.25*1.15</f>
        <v>3.0806422372767379E-2</v>
      </c>
      <c r="L107" s="8"/>
      <c r="M107" s="13"/>
      <c r="N107" s="91"/>
      <c r="O107" s="23"/>
      <c r="P107" s="25"/>
      <c r="Q107" s="13"/>
      <c r="R107" s="39"/>
      <c r="S107" s="15"/>
      <c r="T107" s="15"/>
      <c r="U107" s="13"/>
      <c r="V107" s="13"/>
      <c r="W107" s="13"/>
      <c r="X107" s="16"/>
      <c r="Y107" s="16"/>
      <c r="Z107" s="13"/>
      <c r="AA107" s="13"/>
      <c r="AB107" s="13"/>
      <c r="AC107" s="13"/>
    </row>
    <row r="108" spans="2:29" ht="15.75" x14ac:dyDescent="0.25">
      <c r="B108" s="80" t="s">
        <v>60</v>
      </c>
      <c r="C108" s="8">
        <f t="shared" si="150"/>
        <v>0.39357908763576999</v>
      </c>
      <c r="D108" s="94">
        <f>D109*92500*1.25*1.15/2000</f>
        <v>0.27658153958163356</v>
      </c>
      <c r="E108" s="94">
        <f t="shared" ref="E108" si="158">E109*92500*1.25*1.15/2000</f>
        <v>7.3043266439605098E-2</v>
      </c>
      <c r="F108" s="94">
        <f t="shared" ref="F108" si="159">F109*92500*1.25*1.15/2000</f>
        <v>0.17619984884360873</v>
      </c>
      <c r="G108" s="8">
        <f t="shared" si="153"/>
        <v>0.24924311528321383</v>
      </c>
      <c r="H108" s="94">
        <f t="shared" ref="H108" si="160">H109*92500*1.25*1.15/2000</f>
        <v>0.42723569267472861</v>
      </c>
      <c r="I108" s="94">
        <f t="shared" ref="I108" si="161">I109*92500*1.25*1.15/2000</f>
        <v>4.1200064328591697E-2</v>
      </c>
      <c r="J108" s="94">
        <f t="shared" ref="J108" si="162">J109*92500*1.25*1.15/2000</f>
        <v>0.11699754805413644</v>
      </c>
      <c r="K108" s="94">
        <f t="shared" ref="K108" si="163">K109*92500*1.25*1.15/2000</f>
        <v>8.757203655442479E-2</v>
      </c>
      <c r="L108" s="8"/>
      <c r="M108" s="13"/>
      <c r="N108" s="91"/>
      <c r="O108" s="23"/>
      <c r="P108" s="25"/>
      <c r="Q108" s="13"/>
      <c r="R108" s="39"/>
      <c r="S108" s="15"/>
      <c r="T108" s="15"/>
      <c r="U108" s="13"/>
      <c r="V108" s="13"/>
      <c r="W108" s="13"/>
      <c r="X108" s="16"/>
      <c r="Y108" s="16"/>
      <c r="Z108" s="13"/>
      <c r="AA108" s="13"/>
      <c r="AB108" s="13"/>
      <c r="AC108" s="13"/>
    </row>
    <row r="109" spans="2:29" ht="15.75" x14ac:dyDescent="0.25">
      <c r="B109" s="81" t="s">
        <v>11</v>
      </c>
      <c r="C109" s="8">
        <f t="shared" si="150"/>
        <v>5.9198734685521224E-3</v>
      </c>
      <c r="D109" s="6">
        <f>D106/D26</f>
        <v>4.1600983626849698E-3</v>
      </c>
      <c r="E109" s="6">
        <f>E106/E26</f>
        <v>1.0986531262361283E-3</v>
      </c>
      <c r="F109" s="6">
        <f>F106/F26</f>
        <v>2.650244494944996E-3</v>
      </c>
      <c r="G109" s="102">
        <f t="shared" si="153"/>
        <v>3.7488976211811241E-3</v>
      </c>
      <c r="H109" s="6">
        <f>H106/H26</f>
        <v>6.4261067758361063E-3</v>
      </c>
      <c r="I109" s="6">
        <f>I106/I26</f>
        <v>6.1969544466036861E-4</v>
      </c>
      <c r="J109" s="6">
        <f>J106/J26</f>
        <v>1.7597751058671524E-3</v>
      </c>
      <c r="K109" s="6">
        <f>K106/K26</f>
        <v>1.3171822184449324E-3</v>
      </c>
      <c r="L109" s="8">
        <f>SUM(C109+G109+H109+I109+K109)</f>
        <v>1.8031755528674653E-2</v>
      </c>
      <c r="M109" s="35"/>
      <c r="N109" s="32">
        <f>L109*N$16</f>
        <v>2.2539694410843317E-2</v>
      </c>
      <c r="O109" s="36"/>
      <c r="P109" s="37">
        <f>N109*P$16/2000</f>
        <v>1.0424608665015034</v>
      </c>
      <c r="Q109" s="34"/>
      <c r="R109" s="40">
        <v>10</v>
      </c>
      <c r="S109" s="13"/>
      <c r="T109" s="13"/>
      <c r="U109" s="13"/>
      <c r="V109" s="13"/>
      <c r="W109" s="13"/>
      <c r="X109" s="17"/>
      <c r="Y109" s="17"/>
      <c r="Z109" s="13"/>
      <c r="AA109" s="13"/>
      <c r="AB109" s="13"/>
      <c r="AC109" s="13"/>
    </row>
    <row r="110" spans="2:29" ht="15.75" x14ac:dyDescent="0.25">
      <c r="B110" s="82"/>
      <c r="C110" s="113"/>
      <c r="D110" s="21"/>
      <c r="E110" s="21"/>
      <c r="F110" s="21"/>
      <c r="G110" s="114"/>
      <c r="H110" s="21"/>
      <c r="I110" s="21"/>
      <c r="J110" s="21"/>
      <c r="K110" s="21"/>
      <c r="L110" s="83"/>
      <c r="M110" s="13"/>
      <c r="N110" s="28"/>
      <c r="O110" s="23"/>
      <c r="P110" s="25"/>
      <c r="Q110" s="13"/>
      <c r="R110" s="39"/>
      <c r="S110" s="13"/>
      <c r="T110" s="13"/>
      <c r="U110" s="13"/>
      <c r="V110" s="13"/>
      <c r="W110" s="13"/>
      <c r="X110" s="17"/>
      <c r="Y110" s="17"/>
      <c r="Z110" s="13"/>
      <c r="AA110" s="13"/>
      <c r="AB110" s="13"/>
      <c r="AC110" s="13"/>
    </row>
    <row r="111" spans="2:29" ht="15.75" x14ac:dyDescent="0.25">
      <c r="B111" s="84"/>
      <c r="C111" s="85"/>
      <c r="D111" s="11"/>
      <c r="E111" s="11"/>
      <c r="F111" s="11"/>
      <c r="G111" s="11"/>
      <c r="H111" s="11"/>
      <c r="I111" s="11"/>
      <c r="J111" s="11" t="s">
        <v>30</v>
      </c>
      <c r="K111" s="85" t="s">
        <v>10</v>
      </c>
      <c r="L111" s="86">
        <f>L106+L101+L96+L91+L86+L81+L75+L69+L63</f>
        <v>2.1522201763828157</v>
      </c>
      <c r="M111" s="13"/>
      <c r="N111" s="28"/>
      <c r="O111" s="24"/>
      <c r="P111" s="25"/>
      <c r="Q111" s="13"/>
      <c r="R111" s="39"/>
      <c r="S111" s="15"/>
      <c r="T111" s="15"/>
      <c r="U111" s="13"/>
      <c r="V111" s="13"/>
      <c r="W111" s="13"/>
      <c r="X111" s="17"/>
      <c r="Y111" s="17"/>
      <c r="Z111" s="13"/>
      <c r="AA111" s="13"/>
      <c r="AB111" s="13"/>
      <c r="AC111" s="13"/>
    </row>
    <row r="112" spans="2:29" ht="15.75" x14ac:dyDescent="0.25">
      <c r="B112" s="84"/>
      <c r="C112" s="85"/>
      <c r="D112" s="12"/>
      <c r="E112" s="12"/>
      <c r="F112" s="12"/>
      <c r="G112" s="12"/>
      <c r="H112" s="12"/>
      <c r="I112" s="12"/>
      <c r="J112" s="12"/>
      <c r="K112" s="85" t="s">
        <v>11</v>
      </c>
      <c r="L112" s="87">
        <f>L109+L104+L99+L94+L89+L84+L78+L72+L66</f>
        <v>0.13525339497809374</v>
      </c>
      <c r="M112" s="13"/>
      <c r="N112" s="28">
        <f>L112*N$16</f>
        <v>0.16906674372261718</v>
      </c>
      <c r="O112" s="23"/>
      <c r="P112" s="25">
        <f>N112*P$16/2000</f>
        <v>7.819336897171044</v>
      </c>
      <c r="Q112" s="13"/>
      <c r="R112" s="39">
        <v>25</v>
      </c>
      <c r="S112" s="15"/>
      <c r="T112" s="15"/>
      <c r="U112" s="13"/>
      <c r="V112" s="13"/>
      <c r="W112" s="13"/>
      <c r="X112" s="17"/>
      <c r="Y112" s="17"/>
      <c r="Z112" s="13"/>
      <c r="AA112" s="13"/>
      <c r="AB112" s="13"/>
      <c r="AC112" s="13"/>
    </row>
    <row r="113" spans="2:29" x14ac:dyDescent="0.25"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88"/>
      <c r="M113" s="35"/>
      <c r="N113" s="32"/>
      <c r="O113" s="36"/>
      <c r="P113" s="37"/>
      <c r="Q113" s="34"/>
      <c r="R113" s="40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2:29" ht="17.25" x14ac:dyDescent="0.25">
      <c r="B114" s="13" t="s">
        <v>43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  <c r="O114" s="23"/>
      <c r="P114" s="25"/>
      <c r="Q114" s="13"/>
      <c r="R114" s="31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2:29" ht="17.25" x14ac:dyDescent="0.25">
      <c r="B115" s="13" t="s">
        <v>42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  <c r="O115" s="23"/>
      <c r="P115" s="25"/>
      <c r="Q115" s="13"/>
      <c r="R115" s="31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2:29" ht="17.25" x14ac:dyDescent="0.25">
      <c r="B116" s="13" t="s">
        <v>45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  <c r="O116" s="23"/>
      <c r="P116" s="25"/>
      <c r="Q116" s="13"/>
      <c r="R116" s="31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2:29" ht="17.25" x14ac:dyDescent="0.25">
      <c r="B117" s="13" t="s">
        <v>46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  <c r="O117" s="23"/>
      <c r="P117" s="25"/>
      <c r="Q117" s="13"/>
      <c r="R117" s="31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2:29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  <c r="O118" s="23"/>
      <c r="P118" s="25"/>
      <c r="Q118" s="13"/>
      <c r="R118" s="31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2:29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  <c r="O119" s="23"/>
      <c r="P119" s="25"/>
      <c r="Q119" s="13"/>
      <c r="R119" s="31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2:29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  <c r="O120" s="23"/>
      <c r="P120" s="25"/>
      <c r="Q120" s="13"/>
      <c r="R120" s="31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2:29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  <c r="O121" s="23"/>
      <c r="P121" s="25"/>
      <c r="Q121" s="13"/>
      <c r="R121" s="31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2:29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  <c r="O122" s="23"/>
      <c r="P122" s="25"/>
      <c r="Q122" s="13"/>
      <c r="R122" s="31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2:29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  <c r="O123" s="23"/>
      <c r="P123" s="25"/>
      <c r="Q123" s="13"/>
      <c r="R123" s="31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2:29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  <c r="O124" s="23"/>
      <c r="P124" s="25"/>
      <c r="Q124" s="13"/>
      <c r="R124" s="31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2:29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  <c r="O125" s="23"/>
      <c r="P125" s="25"/>
      <c r="Q125" s="13"/>
      <c r="R125" s="31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2:29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  <c r="O126" s="23"/>
      <c r="P126" s="25"/>
      <c r="Q126" s="13"/>
      <c r="R126" s="31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2:29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  <c r="O127" s="23"/>
      <c r="P127" s="25"/>
      <c r="Q127" s="13"/>
      <c r="R127" s="31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2:29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  <c r="O128" s="23"/>
      <c r="P128" s="25"/>
      <c r="Q128" s="13"/>
      <c r="R128" s="31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2:29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  <c r="O129" s="23"/>
      <c r="P129" s="25"/>
      <c r="Q129" s="13"/>
      <c r="R129" s="31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2:29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  <c r="O130" s="23"/>
      <c r="P130" s="25"/>
      <c r="Q130" s="13"/>
      <c r="R130" s="31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2:29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  <c r="O131" s="23"/>
      <c r="P131" s="25"/>
      <c r="Q131" s="13"/>
      <c r="R131" s="31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2:29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29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29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29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</sheetData>
  <mergeCells count="1">
    <mergeCell ref="B1:R1"/>
  </mergeCells>
  <printOptions horizontalCentered="1"/>
  <pageMargins left="0.7" right="0.7" top="0.75" bottom="0.75" header="0.3" footer="0.3"/>
  <pageSetup paperSize="3" scale="36" orientation="portrait" horizontalDpi="1200" verticalDpi="1200" r:id="rId1"/>
  <ignoredErrors>
    <ignoredError sqref="G29:G58 G63:G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Matvey</dc:creator>
  <cp:lastModifiedBy>Dave Breingan</cp:lastModifiedBy>
  <cp:lastPrinted>2017-09-22T16:38:05Z</cp:lastPrinted>
  <dcterms:created xsi:type="dcterms:W3CDTF">2016-06-07T18:18:04Z</dcterms:created>
  <dcterms:modified xsi:type="dcterms:W3CDTF">2017-11-03T21:52:11Z</dcterms:modified>
</cp:coreProperties>
</file>